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d.docs.live.net/536545547d0b7225/05_Nick/CETER_Group/CETER_projects/10EERC001/10300 draft reports/CO2-EOR-LCA_manuscript/IJGGC manuscript/FINAL/"/>
    </mc:Choice>
  </mc:AlternateContent>
  <xr:revisionPtr revIDLastSave="9" documentId="8_{9BBF90A3-9613-40E1-9161-71D2B3B3763C}" xr6:coauthVersionLast="47" xr6:coauthVersionMax="47" xr10:uidLastSave="{0625A4BF-5FD7-4B43-926E-C62968D113D0}"/>
  <bookViews>
    <workbookView xWindow="-120" yWindow="-120" windowWidth="29040" windowHeight="15840" tabRatio="833" xr2:uid="{00000000-000D-0000-FFFF-FFFF00000000}"/>
  </bookViews>
  <sheets>
    <sheet name="Information" sheetId="25" r:id="rId1"/>
    <sheet name="1. Base Model" sheetId="15" r:id="rId2"/>
    <sheet name="2. Dashboard Summary" sheetId="21" r:id="rId3"/>
    <sheet name="3. Co-Product Displacement" sheetId="24" r:id="rId4"/>
    <sheet name="4. Gasoline and Diesel" sheetId="23" r:id="rId5"/>
    <sheet name="5. Unit Conversions" sheetId="16" r:id="rId6"/>
    <sheet name="6. Coal Type Lookup Table" sheetId="17" r:id="rId7"/>
    <sheet name="7. Brine &amp; Gas Correlations" sheetId="20" r:id="rId8"/>
    <sheet name="8. References" sheetId="27" r:id="rId9"/>
  </sheets>
  <definedNames>
    <definedName name="_xlnm.Print_Area" localSheetId="2">'2. Dashboard Summary'!$B$1:$E$66</definedName>
    <definedName name="_xlnm.Print_Area" localSheetId="3">'3. Co-Product Displacement'!$B$2:$G$18</definedName>
    <definedName name="_xlnm.Print_Area" localSheetId="4">'4. Gasoline and Diesel'!$B$2:$K$47</definedName>
    <definedName name="_xlnm.Print_Area" localSheetId="0">Information!$B$2:$M$83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5" i="15" l="1"/>
  <c r="E5" i="24" l="1"/>
  <c r="D5" i="24"/>
  <c r="C5" i="24"/>
  <c r="J28" i="23" l="1"/>
  <c r="J30" i="23" s="1"/>
  <c r="I28" i="23"/>
  <c r="I30" i="23" s="1"/>
  <c r="J24" i="23"/>
  <c r="J26" i="23" s="1"/>
  <c r="I24" i="23"/>
  <c r="I26" i="23" s="1"/>
  <c r="J20" i="23"/>
  <c r="J22" i="23" s="1"/>
  <c r="I20" i="23"/>
  <c r="I22" i="23" s="1"/>
  <c r="F28" i="23"/>
  <c r="F30" i="23" s="1"/>
  <c r="E28" i="23"/>
  <c r="F24" i="23"/>
  <c r="F26" i="23" s="1"/>
  <c r="E24" i="23"/>
  <c r="E26" i="23" s="1"/>
  <c r="F20" i="23"/>
  <c r="F22" i="23" s="1"/>
  <c r="E20" i="23"/>
  <c r="E22" i="23" s="1"/>
  <c r="L11" i="15"/>
  <c r="K11" i="15"/>
  <c r="E30" i="23" l="1"/>
  <c r="L444" i="15"/>
  <c r="E51" i="21" s="1"/>
  <c r="K444" i="15"/>
  <c r="C51" i="21" s="1"/>
  <c r="L368" i="15"/>
  <c r="K368" i="15"/>
  <c r="L59" i="15"/>
  <c r="K59" i="15"/>
  <c r="L318" i="15"/>
  <c r="K318" i="15"/>
  <c r="L164" i="15"/>
  <c r="K164" i="15"/>
  <c r="L140" i="15"/>
  <c r="K140" i="15"/>
  <c r="L130" i="15"/>
  <c r="K130" i="15"/>
  <c r="L112" i="15"/>
  <c r="K112" i="15"/>
  <c r="L69" i="15"/>
  <c r="K69" i="15"/>
  <c r="L53" i="15"/>
  <c r="K53" i="15"/>
  <c r="K35" i="15" l="1"/>
  <c r="L35" i="15"/>
  <c r="L20" i="15"/>
  <c r="K20" i="15"/>
  <c r="L3" i="15"/>
  <c r="K3" i="15"/>
  <c r="L57" i="15" l="1"/>
  <c r="K57" i="15"/>
  <c r="L12" i="15"/>
  <c r="L4" i="15"/>
  <c r="K12" i="15"/>
  <c r="K4" i="15"/>
  <c r="D19" i="16" l="1"/>
  <c r="I19" i="16" s="1"/>
  <c r="G7" i="17" l="1"/>
  <c r="G8" i="17"/>
  <c r="G9" i="17"/>
  <c r="G6" i="17"/>
  <c r="H28" i="23" l="1"/>
  <c r="H30" i="23" s="1"/>
  <c r="G28" i="23"/>
  <c r="G30" i="23" s="1"/>
  <c r="D28" i="23"/>
  <c r="D30" i="23" s="1"/>
  <c r="C28" i="23"/>
  <c r="C30" i="23" s="1"/>
  <c r="H24" i="23"/>
  <c r="H26" i="23" s="1"/>
  <c r="G24" i="23"/>
  <c r="G26" i="23" s="1"/>
  <c r="D24" i="23"/>
  <c r="D26" i="23" s="1"/>
  <c r="C24" i="23"/>
  <c r="C26" i="23" s="1"/>
  <c r="H20" i="23"/>
  <c r="H22" i="23" s="1"/>
  <c r="G20" i="23"/>
  <c r="G22" i="23" s="1"/>
  <c r="D20" i="23"/>
  <c r="D22" i="23" s="1"/>
  <c r="C20" i="23"/>
  <c r="C22" i="23" s="1"/>
  <c r="D12" i="23"/>
  <c r="D14" i="23" s="1"/>
  <c r="C12" i="23"/>
  <c r="C14" i="23" s="1"/>
  <c r="J249" i="15" l="1"/>
  <c r="J250" i="15"/>
  <c r="J251" i="15"/>
  <c r="J248" i="15"/>
  <c r="K248" i="15" l="1"/>
  <c r="L248" i="15"/>
  <c r="L251" i="15"/>
  <c r="K251" i="15"/>
  <c r="L250" i="15"/>
  <c r="K250" i="15"/>
  <c r="L249" i="15"/>
  <c r="K249" i="15"/>
  <c r="J239" i="15"/>
  <c r="J240" i="15"/>
  <c r="J241" i="15"/>
  <c r="J242" i="15"/>
  <c r="L242" i="15" l="1"/>
  <c r="K242" i="15"/>
  <c r="L241" i="15"/>
  <c r="K241" i="15"/>
  <c r="L240" i="15"/>
  <c r="K240" i="15"/>
  <c r="K239" i="15"/>
  <c r="L239" i="15"/>
  <c r="J354" i="15"/>
  <c r="J342" i="15"/>
  <c r="J343" i="15"/>
  <c r="J344" i="15"/>
  <c r="J345" i="15"/>
  <c r="J346" i="15"/>
  <c r="J347" i="15"/>
  <c r="J341" i="15"/>
  <c r="K347" i="15" l="1"/>
  <c r="L347" i="15"/>
  <c r="K346" i="15"/>
  <c r="L346" i="15"/>
  <c r="L345" i="15"/>
  <c r="K345" i="15"/>
  <c r="K344" i="15"/>
  <c r="L344" i="15"/>
  <c r="L343" i="15"/>
  <c r="K343" i="15"/>
  <c r="K342" i="15"/>
  <c r="L342" i="15"/>
  <c r="K354" i="15"/>
  <c r="L354" i="15"/>
  <c r="L341" i="15"/>
  <c r="K341" i="15"/>
  <c r="J314" i="15"/>
  <c r="J312" i="15"/>
  <c r="L312" i="15" l="1"/>
  <c r="K312" i="15"/>
  <c r="K314" i="15"/>
  <c r="L314" i="15"/>
  <c r="F444" i="15"/>
  <c r="J444" i="15" s="1"/>
  <c r="D51" i="21" s="1"/>
  <c r="J439" i="15"/>
  <c r="J438" i="15"/>
  <c r="J437" i="15"/>
  <c r="J375" i="15"/>
  <c r="G370" i="15"/>
  <c r="E370" i="15"/>
  <c r="F369" i="15"/>
  <c r="F370" i="15" s="1"/>
  <c r="J368" i="15"/>
  <c r="J366" i="15"/>
  <c r="L437" i="15" l="1"/>
  <c r="K437" i="15"/>
  <c r="J440" i="15"/>
  <c r="K438" i="15"/>
  <c r="K440" i="15" s="1"/>
  <c r="L438" i="15"/>
  <c r="L440" i="15" s="1"/>
  <c r="L366" i="15"/>
  <c r="K366" i="15"/>
  <c r="J441" i="15"/>
  <c r="L439" i="15"/>
  <c r="L441" i="15" s="1"/>
  <c r="K439" i="15"/>
  <c r="K441" i="15" s="1"/>
  <c r="L375" i="15"/>
  <c r="K375" i="15"/>
  <c r="J371" i="15"/>
  <c r="J370" i="15"/>
  <c r="J369" i="15"/>
  <c r="J442" i="15" l="1"/>
  <c r="D50" i="21" s="1"/>
  <c r="K369" i="15"/>
  <c r="L369" i="15"/>
  <c r="K370" i="15"/>
  <c r="L370" i="15"/>
  <c r="K442" i="15"/>
  <c r="C50" i="21" s="1"/>
  <c r="L371" i="15"/>
  <c r="K371" i="15"/>
  <c r="L442" i="15"/>
  <c r="E50" i="21" s="1"/>
  <c r="H11" i="20"/>
  <c r="I11" i="20"/>
  <c r="J11" i="20"/>
  <c r="H12" i="20"/>
  <c r="I12" i="20"/>
  <c r="J12" i="20"/>
  <c r="H13" i="20"/>
  <c r="I13" i="20"/>
  <c r="J13" i="20"/>
  <c r="J231" i="15" l="1"/>
  <c r="J230" i="15"/>
  <c r="J229" i="15"/>
  <c r="J227" i="15"/>
  <c r="K231" i="15" l="1"/>
  <c r="L231" i="15"/>
  <c r="L227" i="15"/>
  <c r="K227" i="15"/>
  <c r="K230" i="15"/>
  <c r="L230" i="15"/>
  <c r="K229" i="15"/>
  <c r="L229" i="15"/>
  <c r="J218" i="15"/>
  <c r="F221" i="15"/>
  <c r="J221" i="15" s="1"/>
  <c r="F223" i="15"/>
  <c r="J223" i="15" s="1"/>
  <c r="I18" i="16"/>
  <c r="J316" i="15"/>
  <c r="K218" i="15" l="1"/>
  <c r="L218" i="15"/>
  <c r="L316" i="15"/>
  <c r="K316" i="15"/>
  <c r="K223" i="15"/>
  <c r="L223" i="15"/>
  <c r="K221" i="15"/>
  <c r="L221" i="15"/>
  <c r="J332" i="15"/>
  <c r="J331" i="15"/>
  <c r="J330" i="15"/>
  <c r="J318" i="15"/>
  <c r="J322" i="15"/>
  <c r="J321" i="15"/>
  <c r="J320" i="15"/>
  <c r="K331" i="15" l="1"/>
  <c r="L331" i="15"/>
  <c r="L320" i="15"/>
  <c r="K320" i="15"/>
  <c r="K321" i="15"/>
  <c r="L321" i="15"/>
  <c r="L322" i="15"/>
  <c r="K322" i="15"/>
  <c r="L332" i="15"/>
  <c r="K332" i="15"/>
  <c r="K330" i="15"/>
  <c r="L330" i="15"/>
  <c r="J308" i="15"/>
  <c r="J303" i="15"/>
  <c r="J300" i="15"/>
  <c r="J296" i="15"/>
  <c r="K300" i="15" l="1"/>
  <c r="L300" i="15"/>
  <c r="L303" i="15"/>
  <c r="K303" i="15"/>
  <c r="L308" i="15"/>
  <c r="K308" i="15"/>
  <c r="L296" i="15"/>
  <c r="K296" i="15"/>
  <c r="J274" i="15"/>
  <c r="J273" i="15"/>
  <c r="J272" i="15"/>
  <c r="J260" i="15"/>
  <c r="J264" i="15"/>
  <c r="J263" i="15"/>
  <c r="J262" i="15"/>
  <c r="J289" i="15"/>
  <c r="J290" i="15"/>
  <c r="J288" i="15"/>
  <c r="L260" i="15" l="1"/>
  <c r="K260" i="15"/>
  <c r="K272" i="15"/>
  <c r="L272" i="15"/>
  <c r="K288" i="15"/>
  <c r="L288" i="15"/>
  <c r="L273" i="15"/>
  <c r="K273" i="15"/>
  <c r="L290" i="15"/>
  <c r="K290" i="15"/>
  <c r="K274" i="15"/>
  <c r="L274" i="15"/>
  <c r="K289" i="15"/>
  <c r="L289" i="15"/>
  <c r="L262" i="15"/>
  <c r="K262" i="15"/>
  <c r="K263" i="15"/>
  <c r="L263" i="15"/>
  <c r="L264" i="15"/>
  <c r="K264" i="15"/>
  <c r="J283" i="15"/>
  <c r="J284" i="15"/>
  <c r="J282" i="15"/>
  <c r="J196" i="15"/>
  <c r="J256" i="15"/>
  <c r="J252" i="15"/>
  <c r="J200" i="15"/>
  <c r="J199" i="15"/>
  <c r="J198" i="15"/>
  <c r="J210" i="15"/>
  <c r="J209" i="15"/>
  <c r="J208" i="15"/>
  <c r="F194" i="15"/>
  <c r="J194" i="15" s="1"/>
  <c r="J193" i="15"/>
  <c r="K196" i="15" l="1"/>
  <c r="L196" i="15"/>
  <c r="L209" i="15"/>
  <c r="K209" i="15"/>
  <c r="L210" i="15"/>
  <c r="K210" i="15"/>
  <c r="L284" i="15"/>
  <c r="K284" i="15"/>
  <c r="L194" i="15"/>
  <c r="K194" i="15"/>
  <c r="K256" i="15"/>
  <c r="L256" i="15"/>
  <c r="K208" i="15"/>
  <c r="L208" i="15"/>
  <c r="L282" i="15"/>
  <c r="K282" i="15"/>
  <c r="K198" i="15"/>
  <c r="L198" i="15"/>
  <c r="K283" i="15"/>
  <c r="L283" i="15"/>
  <c r="L199" i="15"/>
  <c r="K199" i="15"/>
  <c r="L200" i="15"/>
  <c r="K200" i="15"/>
  <c r="K193" i="15"/>
  <c r="L193" i="15"/>
  <c r="L252" i="15"/>
  <c r="K252" i="15"/>
  <c r="J191" i="15"/>
  <c r="K191" i="15" l="1"/>
  <c r="L191" i="15"/>
  <c r="J39" i="15"/>
  <c r="G38" i="15"/>
  <c r="G36" i="15"/>
  <c r="L36" i="15" s="1"/>
  <c r="L37" i="15" s="1"/>
  <c r="F38" i="15"/>
  <c r="J38" i="15" s="1"/>
  <c r="F36" i="15"/>
  <c r="E36" i="15" s="1"/>
  <c r="K36" i="15" s="1"/>
  <c r="K37" i="15" s="1"/>
  <c r="K39" i="15" l="1"/>
  <c r="L39" i="15"/>
  <c r="L38" i="15"/>
  <c r="K38" i="15"/>
  <c r="K40" i="15" s="1"/>
  <c r="J40" i="15"/>
  <c r="E38" i="15"/>
  <c r="J88" i="15"/>
  <c r="J86" i="15"/>
  <c r="I17" i="16"/>
  <c r="J184" i="15"/>
  <c r="J179" i="15"/>
  <c r="J174" i="15"/>
  <c r="J175" i="15"/>
  <c r="J133" i="15"/>
  <c r="J168" i="15"/>
  <c r="J166" i="15"/>
  <c r="J164" i="15"/>
  <c r="L40" i="15" l="1"/>
  <c r="J176" i="15"/>
  <c r="K175" i="15"/>
  <c r="K176" i="15" s="1"/>
  <c r="L175" i="15"/>
  <c r="L176" i="15" s="1"/>
  <c r="L174" i="15"/>
  <c r="K174" i="15"/>
  <c r="K184" i="15"/>
  <c r="L184" i="15"/>
  <c r="K166" i="15"/>
  <c r="L166" i="15"/>
  <c r="K179" i="15"/>
  <c r="L179" i="15"/>
  <c r="J87" i="15"/>
  <c r="J89" i="15" s="1"/>
  <c r="L86" i="15"/>
  <c r="L87" i="15" s="1"/>
  <c r="K86" i="15"/>
  <c r="K87" i="15" s="1"/>
  <c r="K168" i="15"/>
  <c r="K169" i="15" s="1"/>
  <c r="J169" i="15"/>
  <c r="L168" i="15"/>
  <c r="L169" i="15" s="1"/>
  <c r="K88" i="15"/>
  <c r="L88" i="15"/>
  <c r="L133" i="15"/>
  <c r="L134" i="15" s="1"/>
  <c r="J134" i="15"/>
  <c r="K133" i="15"/>
  <c r="K134" i="15" s="1"/>
  <c r="J153" i="15"/>
  <c r="K89" i="15" l="1"/>
  <c r="L89" i="15"/>
  <c r="L153" i="15"/>
  <c r="K153" i="15"/>
  <c r="J154" i="15"/>
  <c r="J155" i="15"/>
  <c r="J143" i="15"/>
  <c r="J144" i="15"/>
  <c r="J142" i="15"/>
  <c r="I16" i="16"/>
  <c r="I15" i="16"/>
  <c r="J140" i="15"/>
  <c r="I14" i="16"/>
  <c r="K154" i="15" l="1"/>
  <c r="L154" i="15"/>
  <c r="K155" i="15"/>
  <c r="L155" i="15"/>
  <c r="L142" i="15"/>
  <c r="K142" i="15"/>
  <c r="L144" i="15"/>
  <c r="K144" i="15"/>
  <c r="K143" i="15"/>
  <c r="L143" i="15"/>
  <c r="J131" i="15"/>
  <c r="J130" i="15"/>
  <c r="D13" i="16"/>
  <c r="I13" i="16" s="1"/>
  <c r="J124" i="15"/>
  <c r="L124" i="15" l="1"/>
  <c r="K124" i="15"/>
  <c r="L131" i="15"/>
  <c r="K131" i="15"/>
  <c r="J137" i="15"/>
  <c r="J120" i="15"/>
  <c r="J112" i="15"/>
  <c r="J107" i="15"/>
  <c r="J101" i="15"/>
  <c r="J96" i="15"/>
  <c r="J97" i="15"/>
  <c r="J95" i="15"/>
  <c r="J91" i="15"/>
  <c r="J84" i="15"/>
  <c r="J69" i="15"/>
  <c r="J59" i="15"/>
  <c r="J57" i="15"/>
  <c r="L120" i="15" l="1"/>
  <c r="K120" i="15"/>
  <c r="K137" i="15"/>
  <c r="L137" i="15"/>
  <c r="L107" i="15"/>
  <c r="K107" i="15"/>
  <c r="L84" i="15"/>
  <c r="L85" i="15" s="1"/>
  <c r="L90" i="15" s="1"/>
  <c r="K84" i="15"/>
  <c r="K85" i="15" s="1"/>
  <c r="K90" i="15" s="1"/>
  <c r="L91" i="15"/>
  <c r="K91" i="15"/>
  <c r="J99" i="15"/>
  <c r="D15" i="21" s="1"/>
  <c r="K95" i="15"/>
  <c r="L95" i="15"/>
  <c r="K97" i="15"/>
  <c r="L97" i="15"/>
  <c r="L96" i="15"/>
  <c r="K96" i="15"/>
  <c r="K101" i="15"/>
  <c r="L101" i="15"/>
  <c r="J85" i="15"/>
  <c r="J90" i="15" s="1"/>
  <c r="F80" i="15"/>
  <c r="F81" i="15" s="1"/>
  <c r="F82" i="15" s="1"/>
  <c r="J82" i="15" s="1"/>
  <c r="G80" i="15"/>
  <c r="G81" i="15" s="1"/>
  <c r="G82" i="15" s="1"/>
  <c r="E80" i="15"/>
  <c r="E81" i="15" s="1"/>
  <c r="E82" i="15" s="1"/>
  <c r="J79" i="15"/>
  <c r="L99" i="15" l="1"/>
  <c r="E15" i="21" s="1"/>
  <c r="K92" i="15"/>
  <c r="L82" i="15"/>
  <c r="K82" i="15"/>
  <c r="K99" i="15"/>
  <c r="L92" i="15"/>
  <c r="K79" i="15"/>
  <c r="L79" i="15"/>
  <c r="J80" i="15"/>
  <c r="J81" i="15"/>
  <c r="I7" i="20"/>
  <c r="J7" i="20"/>
  <c r="I8" i="20"/>
  <c r="J8" i="20"/>
  <c r="I9" i="20"/>
  <c r="J9" i="20"/>
  <c r="I10" i="20"/>
  <c r="J10" i="20"/>
  <c r="H8" i="20"/>
  <c r="H9" i="20"/>
  <c r="H10" i="20"/>
  <c r="H7" i="20"/>
  <c r="I12" i="16"/>
  <c r="D11" i="16"/>
  <c r="J53" i="15"/>
  <c r="L80" i="15" l="1"/>
  <c r="K80" i="15"/>
  <c r="C15" i="21"/>
  <c r="L81" i="15"/>
  <c r="K81" i="15"/>
  <c r="F58" i="15"/>
  <c r="J58" i="15" s="1"/>
  <c r="E58" i="15"/>
  <c r="K58" i="15" s="1"/>
  <c r="G58" i="15"/>
  <c r="L58" i="15" s="1"/>
  <c r="F54" i="15"/>
  <c r="J54" i="15" s="1"/>
  <c r="E54" i="15"/>
  <c r="L54" i="15" s="1"/>
  <c r="L55" i="15" s="1"/>
  <c r="G54" i="15"/>
  <c r="K54" i="15" s="1"/>
  <c r="K55" i="15" s="1"/>
  <c r="I11" i="16"/>
  <c r="D10" i="16"/>
  <c r="I10" i="16" s="1"/>
  <c r="J27" i="15"/>
  <c r="J28" i="15" l="1"/>
  <c r="L27" i="15"/>
  <c r="L28" i="15" s="1"/>
  <c r="K27" i="15"/>
  <c r="K28" i="15" s="1"/>
  <c r="L75" i="15"/>
  <c r="L73" i="15"/>
  <c r="L74" i="15"/>
  <c r="K74" i="15"/>
  <c r="K73" i="15"/>
  <c r="K75" i="15"/>
  <c r="J55" i="15"/>
  <c r="J73" i="15" s="1"/>
  <c r="J75" i="15" l="1"/>
  <c r="J74" i="15"/>
  <c r="J380" i="15" l="1"/>
  <c r="J381" i="15"/>
  <c r="J382" i="15"/>
  <c r="J383" i="15"/>
  <c r="J384" i="15"/>
  <c r="J385" i="15"/>
  <c r="J386" i="15"/>
  <c r="J387" i="15"/>
  <c r="J388" i="15"/>
  <c r="J389" i="15"/>
  <c r="J390" i="15"/>
  <c r="J391" i="15"/>
  <c r="J392" i="15"/>
  <c r="J393" i="15"/>
  <c r="J394" i="15"/>
  <c r="J395" i="15"/>
  <c r="J396" i="15"/>
  <c r="J397" i="15"/>
  <c r="J398" i="15"/>
  <c r="J399" i="15"/>
  <c r="J421" i="15"/>
  <c r="J422" i="15"/>
  <c r="J423" i="15"/>
  <c r="J424" i="15"/>
  <c r="J425" i="15"/>
  <c r="J426" i="15"/>
  <c r="J427" i="15"/>
  <c r="J379" i="15"/>
  <c r="I9" i="16"/>
  <c r="J49" i="15"/>
  <c r="J48" i="15"/>
  <c r="D8" i="16"/>
  <c r="E51" i="15"/>
  <c r="K380" i="15" l="1"/>
  <c r="L380" i="15"/>
  <c r="L424" i="15"/>
  <c r="K424" i="15"/>
  <c r="K423" i="15"/>
  <c r="L423" i="15"/>
  <c r="J407" i="15"/>
  <c r="L393" i="15"/>
  <c r="L407" i="15" s="1"/>
  <c r="K393" i="15"/>
  <c r="K407" i="15" s="1"/>
  <c r="J410" i="15"/>
  <c r="L396" i="15"/>
  <c r="L410" i="15" s="1"/>
  <c r="K396" i="15"/>
  <c r="K410" i="15" s="1"/>
  <c r="J402" i="15"/>
  <c r="K388" i="15"/>
  <c r="K402" i="15" s="1"/>
  <c r="L388" i="15"/>
  <c r="L402" i="15" s="1"/>
  <c r="J401" i="15"/>
  <c r="K387" i="15"/>
  <c r="K401" i="15" s="1"/>
  <c r="L387" i="15"/>
  <c r="L401" i="15" s="1"/>
  <c r="K48" i="15"/>
  <c r="L48" i="15"/>
  <c r="J408" i="15"/>
  <c r="L394" i="15"/>
  <c r="L408" i="15" s="1"/>
  <c r="K394" i="15"/>
  <c r="K408" i="15" s="1"/>
  <c r="L49" i="15"/>
  <c r="K49" i="15"/>
  <c r="K384" i="15"/>
  <c r="L384" i="15"/>
  <c r="L379" i="15"/>
  <c r="K379" i="15"/>
  <c r="J405" i="15"/>
  <c r="K391" i="15"/>
  <c r="K405" i="15" s="1"/>
  <c r="L391" i="15"/>
  <c r="L405" i="15" s="1"/>
  <c r="J412" i="15"/>
  <c r="L398" i="15"/>
  <c r="L412" i="15" s="1"/>
  <c r="K398" i="15"/>
  <c r="K412" i="15" s="1"/>
  <c r="J404" i="15"/>
  <c r="L390" i="15"/>
  <c r="L404" i="15" s="1"/>
  <c r="K390" i="15"/>
  <c r="K404" i="15" s="1"/>
  <c r="K382" i="15"/>
  <c r="L382" i="15"/>
  <c r="K425" i="15"/>
  <c r="L425" i="15"/>
  <c r="J177" i="15"/>
  <c r="L177" i="15"/>
  <c r="K177" i="15"/>
  <c r="J409" i="15"/>
  <c r="K395" i="15"/>
  <c r="K409" i="15" s="1"/>
  <c r="L395" i="15"/>
  <c r="L409" i="15" s="1"/>
  <c r="J400" i="15"/>
  <c r="K386" i="15"/>
  <c r="K400" i="15" s="1"/>
  <c r="L386" i="15"/>
  <c r="L400" i="15" s="1"/>
  <c r="K422" i="15"/>
  <c r="L422" i="15"/>
  <c r="L385" i="15"/>
  <c r="K385" i="15"/>
  <c r="K421" i="15"/>
  <c r="L421" i="15"/>
  <c r="J406" i="15"/>
  <c r="K392" i="15"/>
  <c r="K406" i="15" s="1"/>
  <c r="L392" i="15"/>
  <c r="L406" i="15" s="1"/>
  <c r="J413" i="15"/>
  <c r="K399" i="15"/>
  <c r="K413" i="15" s="1"/>
  <c r="L399" i="15"/>
  <c r="L413" i="15" s="1"/>
  <c r="K383" i="15"/>
  <c r="K418" i="15" s="1"/>
  <c r="K432" i="15" s="1"/>
  <c r="L383" i="15"/>
  <c r="K427" i="15"/>
  <c r="L427" i="15"/>
  <c r="L426" i="15"/>
  <c r="K426" i="15"/>
  <c r="J411" i="15"/>
  <c r="K397" i="15"/>
  <c r="K411" i="15" s="1"/>
  <c r="L397" i="15"/>
  <c r="L411" i="15" s="1"/>
  <c r="J403" i="15"/>
  <c r="K389" i="15"/>
  <c r="K403" i="15" s="1"/>
  <c r="L389" i="15"/>
  <c r="L403" i="15" s="1"/>
  <c r="L381" i="15"/>
  <c r="K381" i="15"/>
  <c r="J50" i="15"/>
  <c r="G51" i="15"/>
  <c r="I8" i="16"/>
  <c r="L417" i="15" l="1"/>
  <c r="L431" i="15" s="1"/>
  <c r="K50" i="15"/>
  <c r="K56" i="15" s="1"/>
  <c r="J415" i="15"/>
  <c r="J418" i="15"/>
  <c r="J419" i="15"/>
  <c r="J420" i="15"/>
  <c r="J416" i="15"/>
  <c r="J430" i="15" s="1"/>
  <c r="J417" i="15"/>
  <c r="K417" i="15"/>
  <c r="K431" i="15" s="1"/>
  <c r="K415" i="15"/>
  <c r="K429" i="15" s="1"/>
  <c r="J414" i="15"/>
  <c r="J428" i="15" s="1"/>
  <c r="L420" i="15"/>
  <c r="L434" i="15" s="1"/>
  <c r="K416" i="15"/>
  <c r="K430" i="15" s="1"/>
  <c r="L416" i="15"/>
  <c r="L430" i="15" s="1"/>
  <c r="L414" i="15"/>
  <c r="L428" i="15" s="1"/>
  <c r="L50" i="15"/>
  <c r="F6" i="23"/>
  <c r="K420" i="15"/>
  <c r="K434" i="15" s="1"/>
  <c r="K414" i="15"/>
  <c r="K428" i="15" s="1"/>
  <c r="L419" i="15"/>
  <c r="L433" i="15" s="1"/>
  <c r="K419" i="15"/>
  <c r="K433" i="15" s="1"/>
  <c r="L415" i="15"/>
  <c r="L429" i="15" s="1"/>
  <c r="L418" i="15"/>
  <c r="L432" i="15" s="1"/>
  <c r="J56" i="15"/>
  <c r="D6" i="23"/>
  <c r="C6" i="23"/>
  <c r="G6" i="23"/>
  <c r="H6" i="23"/>
  <c r="J92" i="15"/>
  <c r="J93" i="15" s="1"/>
  <c r="D14" i="21" s="1"/>
  <c r="J98" i="15"/>
  <c r="J62" i="15"/>
  <c r="J434" i="15"/>
  <c r="J431" i="15"/>
  <c r="K62" i="15" l="1"/>
  <c r="K98" i="15"/>
  <c r="K93" i="15"/>
  <c r="C14" i="21" s="1"/>
  <c r="I6" i="23"/>
  <c r="J6" i="23"/>
  <c r="E6" i="23"/>
  <c r="E29" i="23" s="1"/>
  <c r="K304" i="15"/>
  <c r="K305" i="15" s="1"/>
  <c r="K219" i="15"/>
  <c r="K220" i="15" s="1"/>
  <c r="K222" i="15" s="1"/>
  <c r="K224" i="15" s="1"/>
  <c r="K190" i="15"/>
  <c r="K63" i="15"/>
  <c r="K108" i="15" s="1"/>
  <c r="L56" i="15"/>
  <c r="L98" i="15"/>
  <c r="L93" i="15"/>
  <c r="E14" i="21" s="1"/>
  <c r="L62" i="15"/>
  <c r="E25" i="23"/>
  <c r="E21" i="23"/>
  <c r="K60" i="15"/>
  <c r="K61" i="15" s="1"/>
  <c r="K29" i="15"/>
  <c r="K30" i="15" s="1"/>
  <c r="K64" i="15"/>
  <c r="I29" i="23"/>
  <c r="I25" i="23"/>
  <c r="I21" i="23"/>
  <c r="K435" i="15"/>
  <c r="C49" i="21" s="1"/>
  <c r="F29" i="23"/>
  <c r="F21" i="23"/>
  <c r="F25" i="23"/>
  <c r="L435" i="15"/>
  <c r="E49" i="21" s="1"/>
  <c r="J29" i="23"/>
  <c r="J21" i="23"/>
  <c r="J25" i="23"/>
  <c r="D25" i="23"/>
  <c r="D29" i="23"/>
  <c r="D21" i="23"/>
  <c r="D13" i="23"/>
  <c r="H21" i="23"/>
  <c r="H25" i="23"/>
  <c r="H29" i="23"/>
  <c r="G21" i="23"/>
  <c r="G29" i="23"/>
  <c r="G25" i="23"/>
  <c r="C21" i="23"/>
  <c r="C13" i="23"/>
  <c r="C25" i="23"/>
  <c r="C29" i="23"/>
  <c r="J219" i="15"/>
  <c r="J64" i="15"/>
  <c r="J304" i="15"/>
  <c r="J305" i="15" s="1"/>
  <c r="J190" i="15"/>
  <c r="J228" i="15" s="1"/>
  <c r="J63" i="15"/>
  <c r="J108" i="15" s="1"/>
  <c r="J60" i="15"/>
  <c r="J61" i="15" s="1"/>
  <c r="J29" i="15"/>
  <c r="J30" i="15" s="1"/>
  <c r="F51" i="15"/>
  <c r="J51" i="15" s="1"/>
  <c r="J433" i="15"/>
  <c r="J432" i="15"/>
  <c r="J429" i="15"/>
  <c r="L64" i="15" l="1"/>
  <c r="L60" i="15"/>
  <c r="L61" i="15" s="1"/>
  <c r="L29" i="15"/>
  <c r="L30" i="15" s="1"/>
  <c r="K72" i="15"/>
  <c r="K65" i="15"/>
  <c r="K113" i="15" s="1"/>
  <c r="K114" i="15" s="1"/>
  <c r="K66" i="15"/>
  <c r="K67" i="15" s="1"/>
  <c r="K361" i="15"/>
  <c r="C62" i="21"/>
  <c r="K192" i="15"/>
  <c r="K195" i="15" s="1"/>
  <c r="K228" i="15"/>
  <c r="L63" i="15"/>
  <c r="L108" i="15" s="1"/>
  <c r="L190" i="15"/>
  <c r="L219" i="15"/>
  <c r="L220" i="15" s="1"/>
  <c r="L222" i="15" s="1"/>
  <c r="L224" i="15" s="1"/>
  <c r="L304" i="15"/>
  <c r="L305" i="15" s="1"/>
  <c r="K109" i="15"/>
  <c r="K121" i="15"/>
  <c r="K122" i="15" s="1"/>
  <c r="C18" i="21" s="1"/>
  <c r="K244" i="15"/>
  <c r="L245" i="15"/>
  <c r="L243" i="15"/>
  <c r="L244" i="15"/>
  <c r="K246" i="15"/>
  <c r="K243" i="15"/>
  <c r="L246" i="15"/>
  <c r="K245" i="15"/>
  <c r="K225" i="15"/>
  <c r="K226" i="15" s="1"/>
  <c r="C36" i="21" s="1"/>
  <c r="J52" i="15"/>
  <c r="J165" i="15" s="1"/>
  <c r="J167" i="15" s="1"/>
  <c r="J170" i="15" s="1"/>
  <c r="J171" i="15" s="1"/>
  <c r="L51" i="15"/>
  <c r="L52" i="15" s="1"/>
  <c r="K51" i="15"/>
  <c r="K52" i="15" s="1"/>
  <c r="J220" i="15"/>
  <c r="J222" i="15" s="1"/>
  <c r="J224" i="15" s="1"/>
  <c r="J225" i="15" s="1"/>
  <c r="J226" i="15" s="1"/>
  <c r="D36" i="21" s="1"/>
  <c r="J243" i="15"/>
  <c r="J245" i="15"/>
  <c r="J244" i="15"/>
  <c r="J246" i="15"/>
  <c r="D62" i="21"/>
  <c r="J361" i="15"/>
  <c r="J435" i="15"/>
  <c r="D49" i="21" s="1"/>
  <c r="J234" i="15"/>
  <c r="J236" i="15" s="1"/>
  <c r="J233" i="15"/>
  <c r="J235" i="15" s="1"/>
  <c r="J232" i="15"/>
  <c r="J192" i="15"/>
  <c r="J195" i="15" s="1"/>
  <c r="J197" i="15" s="1"/>
  <c r="J66" i="15"/>
  <c r="J141" i="15"/>
  <c r="J76" i="15"/>
  <c r="K247" i="15" l="1"/>
  <c r="K253" i="15" s="1"/>
  <c r="L76" i="15"/>
  <c r="L165" i="15"/>
  <c r="L167" i="15" s="1"/>
  <c r="L170" i="15" s="1"/>
  <c r="L171" i="15" s="1"/>
  <c r="E23" i="21" s="1"/>
  <c r="L141" i="15"/>
  <c r="L132" i="15"/>
  <c r="L135" i="15" s="1"/>
  <c r="L138" i="15"/>
  <c r="L102" i="15"/>
  <c r="L103" i="15" s="1"/>
  <c r="L77" i="15"/>
  <c r="L78" i="15"/>
  <c r="L125" i="15" s="1"/>
  <c r="L126" i="15" s="1"/>
  <c r="L109" i="15"/>
  <c r="L121" i="15"/>
  <c r="L122" i="15" s="1"/>
  <c r="E18" i="21" s="1"/>
  <c r="K68" i="15"/>
  <c r="K70" i="15"/>
  <c r="K71" i="15" s="1"/>
  <c r="L247" i="15"/>
  <c r="L253" i="15" s="1"/>
  <c r="K233" i="15"/>
  <c r="K235" i="15" s="1"/>
  <c r="K234" i="15"/>
  <c r="K236" i="15" s="1"/>
  <c r="K232" i="15"/>
  <c r="K213" i="15"/>
  <c r="K215" i="15" s="1"/>
  <c r="K211" i="15"/>
  <c r="K197" i="15"/>
  <c r="K212" i="15"/>
  <c r="K214" i="15" s="1"/>
  <c r="L361" i="15"/>
  <c r="E62" i="21"/>
  <c r="K141" i="15"/>
  <c r="K165" i="15"/>
  <c r="K167" i="15" s="1"/>
  <c r="K170" i="15" s="1"/>
  <c r="K171" i="15" s="1"/>
  <c r="C23" i="21" s="1"/>
  <c r="K132" i="15"/>
  <c r="K135" i="15" s="1"/>
  <c r="K102" i="15"/>
  <c r="K103" i="15" s="1"/>
  <c r="K138" i="15"/>
  <c r="K76" i="15"/>
  <c r="K78" i="15"/>
  <c r="K125" i="15" s="1"/>
  <c r="K126" i="15" s="1"/>
  <c r="K77" i="15"/>
  <c r="K173" i="15" s="1"/>
  <c r="L65" i="15"/>
  <c r="L113" i="15" s="1"/>
  <c r="L114" i="15" s="1"/>
  <c r="L72" i="15"/>
  <c r="L66" i="15"/>
  <c r="L67" i="15" s="1"/>
  <c r="L225" i="15"/>
  <c r="L226" i="15" s="1"/>
  <c r="E36" i="21" s="1"/>
  <c r="L228" i="15"/>
  <c r="L192" i="15"/>
  <c r="L195" i="15" s="1"/>
  <c r="J77" i="15"/>
  <c r="J78" i="15"/>
  <c r="J125" i="15" s="1"/>
  <c r="J126" i="15" s="1"/>
  <c r="J132" i="15"/>
  <c r="J135" i="15" s="1"/>
  <c r="J102" i="15"/>
  <c r="J103" i="15" s="1"/>
  <c r="J138" i="15"/>
  <c r="J247" i="15"/>
  <c r="J253" i="15" s="1"/>
  <c r="D23" i="21"/>
  <c r="J237" i="15"/>
  <c r="J238" i="15" s="1"/>
  <c r="D35" i="21" s="1"/>
  <c r="J255" i="15"/>
  <c r="J295" i="15"/>
  <c r="J72" i="15"/>
  <c r="J201" i="15"/>
  <c r="J203" i="15"/>
  <c r="J205" i="15" s="1"/>
  <c r="J202" i="15"/>
  <c r="J204" i="15" s="1"/>
  <c r="J156" i="15"/>
  <c r="J158" i="15"/>
  <c r="J160" i="15" s="1"/>
  <c r="J157" i="15"/>
  <c r="J159" i="15" s="1"/>
  <c r="J211" i="15"/>
  <c r="J212" i="15"/>
  <c r="J214" i="15" s="1"/>
  <c r="J213" i="15"/>
  <c r="J215" i="15" s="1"/>
  <c r="J65" i="15"/>
  <c r="J113" i="15" s="1"/>
  <c r="J114" i="15" s="1"/>
  <c r="J67" i="15"/>
  <c r="J70" i="15" s="1"/>
  <c r="J71" i="15" s="1"/>
  <c r="J147" i="15"/>
  <c r="J149" i="15" s="1"/>
  <c r="J145" i="15"/>
  <c r="J146" i="15"/>
  <c r="J148" i="15" s="1"/>
  <c r="J173" i="15" l="1"/>
  <c r="J178" i="15" s="1"/>
  <c r="K202" i="15"/>
  <c r="K204" i="15" s="1"/>
  <c r="K201" i="15"/>
  <c r="K203" i="15"/>
  <c r="K205" i="15" s="1"/>
  <c r="K360" i="15"/>
  <c r="C60" i="21"/>
  <c r="L372" i="15"/>
  <c r="L136" i="15"/>
  <c r="E20" i="21" s="1"/>
  <c r="L232" i="15"/>
  <c r="L233" i="15"/>
  <c r="L235" i="15" s="1"/>
  <c r="L234" i="15"/>
  <c r="L236" i="15" s="1"/>
  <c r="K295" i="15"/>
  <c r="K255" i="15"/>
  <c r="L68" i="15"/>
  <c r="L70" i="15"/>
  <c r="L71" i="15" s="1"/>
  <c r="K216" i="15"/>
  <c r="K217" i="15" s="1"/>
  <c r="C34" i="21" s="1"/>
  <c r="L156" i="15"/>
  <c r="L146" i="15"/>
  <c r="L148" i="15" s="1"/>
  <c r="L158" i="15"/>
  <c r="L160" i="15" s="1"/>
  <c r="L157" i="15"/>
  <c r="L159" i="15" s="1"/>
  <c r="L145" i="15"/>
  <c r="L147" i="15"/>
  <c r="L149" i="15" s="1"/>
  <c r="K156" i="15"/>
  <c r="K145" i="15"/>
  <c r="K158" i="15"/>
  <c r="K160" i="15" s="1"/>
  <c r="K146" i="15"/>
  <c r="K148" i="15" s="1"/>
  <c r="K157" i="15"/>
  <c r="K159" i="15" s="1"/>
  <c r="K147" i="15"/>
  <c r="K149" i="15" s="1"/>
  <c r="K178" i="15"/>
  <c r="K180" i="15" s="1"/>
  <c r="K185" i="15"/>
  <c r="K186" i="15" s="1"/>
  <c r="L173" i="15"/>
  <c r="K362" i="15"/>
  <c r="C61" i="21"/>
  <c r="K136" i="15"/>
  <c r="C20" i="21" s="1"/>
  <c r="K372" i="15"/>
  <c r="L197" i="15"/>
  <c r="L213" i="15"/>
  <c r="L215" i="15" s="1"/>
  <c r="L212" i="15"/>
  <c r="L214" i="15" s="1"/>
  <c r="L211" i="15"/>
  <c r="K237" i="15"/>
  <c r="K238" i="15" s="1"/>
  <c r="C35" i="21" s="1"/>
  <c r="L295" i="15"/>
  <c r="L255" i="15"/>
  <c r="J362" i="15"/>
  <c r="D61" i="21"/>
  <c r="J287" i="15"/>
  <c r="J293" i="15" s="1"/>
  <c r="J309" i="15"/>
  <c r="J313" i="15"/>
  <c r="J136" i="15"/>
  <c r="D20" i="21" s="1"/>
  <c r="J372" i="15"/>
  <c r="J261" i="15"/>
  <c r="J265" i="15" s="1"/>
  <c r="J285" i="15"/>
  <c r="J286" i="15"/>
  <c r="J292" i="15" s="1"/>
  <c r="J257" i="15"/>
  <c r="J301" i="15"/>
  <c r="J302" i="15" s="1"/>
  <c r="D40" i="21" s="1"/>
  <c r="J297" i="15"/>
  <c r="J206" i="15"/>
  <c r="J207" i="15" s="1"/>
  <c r="J68" i="15"/>
  <c r="J216" i="15"/>
  <c r="J217" i="15" s="1"/>
  <c r="D34" i="21" s="1"/>
  <c r="J109" i="15"/>
  <c r="J121" i="15"/>
  <c r="J122" i="15" s="1"/>
  <c r="D18" i="21" s="1"/>
  <c r="J185" i="15"/>
  <c r="J186" i="15" s="1"/>
  <c r="J161" i="15"/>
  <c r="J162" i="15" s="1"/>
  <c r="D22" i="21" s="1"/>
  <c r="J150" i="15"/>
  <c r="J151" i="15" s="1"/>
  <c r="D21" i="21" s="1"/>
  <c r="D6" i="16"/>
  <c r="D7" i="16"/>
  <c r="C63" i="21" l="1"/>
  <c r="L150" i="15"/>
  <c r="L151" i="15" s="1"/>
  <c r="E21" i="21" s="1"/>
  <c r="K257" i="15"/>
  <c r="K261" i="15"/>
  <c r="K285" i="15"/>
  <c r="K291" i="15" s="1"/>
  <c r="K287" i="15"/>
  <c r="K293" i="15" s="1"/>
  <c r="K286" i="15"/>
  <c r="K292" i="15" s="1"/>
  <c r="L161" i="15"/>
  <c r="L162" i="15" s="1"/>
  <c r="E22" i="21" s="1"/>
  <c r="K206" i="15"/>
  <c r="K207" i="15" s="1"/>
  <c r="L261" i="15"/>
  <c r="L287" i="15"/>
  <c r="L293" i="15" s="1"/>
  <c r="L257" i="15"/>
  <c r="L285" i="15"/>
  <c r="L291" i="15" s="1"/>
  <c r="L286" i="15"/>
  <c r="L292" i="15" s="1"/>
  <c r="J367" i="15"/>
  <c r="J373" i="15" s="1"/>
  <c r="J374" i="15" s="1"/>
  <c r="J376" i="15" s="1"/>
  <c r="J377" i="15" s="1"/>
  <c r="K367" i="15"/>
  <c r="K373" i="15" s="1"/>
  <c r="K374" i="15" s="1"/>
  <c r="K376" i="15" s="1"/>
  <c r="K377" i="15" s="1"/>
  <c r="L367" i="15"/>
  <c r="L373" i="15" s="1"/>
  <c r="L374" i="15" s="1"/>
  <c r="L376" i="15" s="1"/>
  <c r="L377" i="15" s="1"/>
  <c r="L313" i="15"/>
  <c r="L301" i="15"/>
  <c r="L302" i="15" s="1"/>
  <c r="E40" i="21" s="1"/>
  <c r="L297" i="15"/>
  <c r="L309" i="15"/>
  <c r="K150" i="15"/>
  <c r="K151" i="15" s="1"/>
  <c r="C21" i="21" s="1"/>
  <c r="K181" i="15"/>
  <c r="K182" i="15" s="1"/>
  <c r="C24" i="21" s="1"/>
  <c r="L202" i="15"/>
  <c r="L204" i="15" s="1"/>
  <c r="L203" i="15"/>
  <c r="L205" i="15" s="1"/>
  <c r="L201" i="15"/>
  <c r="K313" i="15"/>
  <c r="K315" i="15" s="1"/>
  <c r="K297" i="15"/>
  <c r="K309" i="15"/>
  <c r="K301" i="15"/>
  <c r="K302" i="15" s="1"/>
  <c r="C40" i="21" s="1"/>
  <c r="L216" i="15"/>
  <c r="L217" i="15" s="1"/>
  <c r="E34" i="21" s="1"/>
  <c r="L185" i="15"/>
  <c r="L186" i="15" s="1"/>
  <c r="L178" i="15"/>
  <c r="L180" i="15" s="1"/>
  <c r="K161" i="15"/>
  <c r="K162" i="15" s="1"/>
  <c r="C22" i="21" s="1"/>
  <c r="L237" i="15"/>
  <c r="L238" i="15" s="1"/>
  <c r="E35" i="21" s="1"/>
  <c r="L360" i="15"/>
  <c r="E60" i="21"/>
  <c r="L362" i="15"/>
  <c r="E61" i="21"/>
  <c r="J291" i="15"/>
  <c r="J360" i="15"/>
  <c r="D60" i="21"/>
  <c r="D63" i="21" s="1"/>
  <c r="J357" i="15"/>
  <c r="D33" i="21"/>
  <c r="D37" i="21" s="1"/>
  <c r="J315" i="15"/>
  <c r="J319" i="15" s="1"/>
  <c r="J325" i="15" s="1"/>
  <c r="J327" i="15" s="1"/>
  <c r="J276" i="15"/>
  <c r="J278" i="15" s="1"/>
  <c r="J277" i="15"/>
  <c r="J279" i="15" s="1"/>
  <c r="J266" i="15"/>
  <c r="J268" i="15" s="1"/>
  <c r="J267" i="15"/>
  <c r="J269" i="15" s="1"/>
  <c r="J275" i="15"/>
  <c r="J180" i="15"/>
  <c r="J181" i="15" s="1"/>
  <c r="J182" i="15" s="1"/>
  <c r="D24" i="21" s="1"/>
  <c r="I6" i="16"/>
  <c r="I7" i="16"/>
  <c r="E63" i="21" l="1"/>
  <c r="L445" i="15"/>
  <c r="J16" i="23"/>
  <c r="I16" i="23"/>
  <c r="E48" i="21"/>
  <c r="E52" i="21" s="1"/>
  <c r="D48" i="21"/>
  <c r="D52" i="21" s="1"/>
  <c r="J445" i="15"/>
  <c r="G16" i="23"/>
  <c r="G18" i="23" s="1"/>
  <c r="H16" i="23"/>
  <c r="H17" i="23" s="1"/>
  <c r="D16" i="23"/>
  <c r="D18" i="23" s="1"/>
  <c r="C16" i="23"/>
  <c r="C18" i="23" s="1"/>
  <c r="K445" i="15"/>
  <c r="F16" i="23"/>
  <c r="E16" i="23"/>
  <c r="C48" i="21"/>
  <c r="C52" i="21" s="1"/>
  <c r="K340" i="15"/>
  <c r="K355" i="15" s="1"/>
  <c r="K319" i="15"/>
  <c r="K317" i="15"/>
  <c r="L181" i="15"/>
  <c r="L182" i="15" s="1"/>
  <c r="E24" i="21" s="1"/>
  <c r="L206" i="15"/>
  <c r="L207" i="15" s="1"/>
  <c r="K275" i="15"/>
  <c r="K277" i="15"/>
  <c r="K266" i="15"/>
  <c r="K268" i="15" s="1"/>
  <c r="K267" i="15"/>
  <c r="K269" i="15" s="1"/>
  <c r="K276" i="15"/>
  <c r="K278" i="15" s="1"/>
  <c r="K265" i="15"/>
  <c r="L315" i="15"/>
  <c r="L340" i="15" s="1"/>
  <c r="L355" i="15" s="1"/>
  <c r="L266" i="15"/>
  <c r="L268" i="15" s="1"/>
  <c r="L275" i="15"/>
  <c r="L265" i="15"/>
  <c r="L267" i="15"/>
  <c r="L269" i="15" s="1"/>
  <c r="L276" i="15"/>
  <c r="L278" i="15" s="1"/>
  <c r="L277" i="15"/>
  <c r="L279" i="15" s="1"/>
  <c r="K357" i="15"/>
  <c r="C33" i="21"/>
  <c r="C37" i="21" s="1"/>
  <c r="J317" i="15"/>
  <c r="J340" i="15"/>
  <c r="J323" i="15"/>
  <c r="J334" i="15"/>
  <c r="J336" i="15" s="1"/>
  <c r="J324" i="15"/>
  <c r="J326" i="15" s="1"/>
  <c r="J333" i="15"/>
  <c r="J335" i="15"/>
  <c r="J337" i="15" s="1"/>
  <c r="J280" i="15"/>
  <c r="J281" i="15" s="1"/>
  <c r="D30" i="21" s="1"/>
  <c r="J270" i="15"/>
  <c r="J271" i="15" s="1"/>
  <c r="D29" i="21" s="1"/>
  <c r="K270" i="15" l="1"/>
  <c r="K271" i="15" s="1"/>
  <c r="C29" i="21" s="1"/>
  <c r="G17" i="23"/>
  <c r="C17" i="23"/>
  <c r="C31" i="23" s="1"/>
  <c r="C32" i="23" s="1"/>
  <c r="C33" i="23" s="1"/>
  <c r="D17" i="23"/>
  <c r="D31" i="23" s="1"/>
  <c r="D32" i="23" s="1"/>
  <c r="D33" i="23" s="1"/>
  <c r="H18" i="23"/>
  <c r="L270" i="15"/>
  <c r="L271" i="15" s="1"/>
  <c r="E29" i="21" s="1"/>
  <c r="K324" i="15"/>
  <c r="K326" i="15" s="1"/>
  <c r="K325" i="15"/>
  <c r="K327" i="15" s="1"/>
  <c r="K334" i="15"/>
  <c r="K336" i="15" s="1"/>
  <c r="K323" i="15"/>
  <c r="K333" i="15"/>
  <c r="K335" i="15"/>
  <c r="K337" i="15" s="1"/>
  <c r="L280" i="15"/>
  <c r="L281" i="15" s="1"/>
  <c r="E30" i="21" s="1"/>
  <c r="F18" i="23"/>
  <c r="F17" i="23"/>
  <c r="K279" i="15"/>
  <c r="K280" i="15" s="1"/>
  <c r="K281" i="15" s="1"/>
  <c r="C30" i="21" s="1"/>
  <c r="I18" i="23"/>
  <c r="I17" i="23"/>
  <c r="E18" i="23"/>
  <c r="E17" i="23"/>
  <c r="J18" i="23"/>
  <c r="J17" i="23"/>
  <c r="K348" i="15"/>
  <c r="K351" i="15"/>
  <c r="L351" i="15"/>
  <c r="K350" i="15"/>
  <c r="K349" i="15"/>
  <c r="L353" i="15"/>
  <c r="L352" i="15"/>
  <c r="L350" i="15"/>
  <c r="K353" i="15"/>
  <c r="L349" i="15"/>
  <c r="K352" i="15"/>
  <c r="L348" i="15"/>
  <c r="L319" i="15"/>
  <c r="L317" i="15"/>
  <c r="L357" i="15"/>
  <c r="E33" i="21"/>
  <c r="E37" i="21" s="1"/>
  <c r="J328" i="15"/>
  <c r="J329" i="15" s="1"/>
  <c r="D43" i="21" s="1"/>
  <c r="J350" i="15"/>
  <c r="J348" i="15"/>
  <c r="J352" i="15"/>
  <c r="J349" i="15"/>
  <c r="J355" i="15"/>
  <c r="J351" i="15"/>
  <c r="J353" i="15"/>
  <c r="J338" i="15"/>
  <c r="J339" i="15" s="1"/>
  <c r="D44" i="21" s="1"/>
  <c r="J41" i="15"/>
  <c r="J35" i="15"/>
  <c r="J36" i="15"/>
  <c r="J31" i="15"/>
  <c r="K328" i="15" l="1"/>
  <c r="K329" i="15" s="1"/>
  <c r="C43" i="21" s="1"/>
  <c r="L31" i="15"/>
  <c r="K31" i="15"/>
  <c r="L325" i="15"/>
  <c r="L327" i="15" s="1"/>
  <c r="L333" i="15"/>
  <c r="L334" i="15"/>
  <c r="L336" i="15" s="1"/>
  <c r="L323" i="15"/>
  <c r="L324" i="15"/>
  <c r="L326" i="15" s="1"/>
  <c r="L335" i="15"/>
  <c r="L337" i="15" s="1"/>
  <c r="L41" i="15"/>
  <c r="L42" i="15" s="1"/>
  <c r="L43" i="15" s="1"/>
  <c r="E10" i="21" s="1"/>
  <c r="K41" i="15"/>
  <c r="K42" i="15" s="1"/>
  <c r="K43" i="15" s="1"/>
  <c r="C10" i="21" s="1"/>
  <c r="K338" i="15"/>
  <c r="K339" i="15" s="1"/>
  <c r="C44" i="21" s="1"/>
  <c r="J37" i="15"/>
  <c r="J42" i="15" s="1"/>
  <c r="J43" i="15" s="1"/>
  <c r="D10" i="21" s="1"/>
  <c r="J258" i="15"/>
  <c r="J259" i="15" s="1"/>
  <c r="J306" i="15"/>
  <c r="J307" i="15" s="1"/>
  <c r="D41" i="21" s="1"/>
  <c r="J310" i="15"/>
  <c r="J311" i="15" s="1"/>
  <c r="D42" i="21" s="1"/>
  <c r="J298" i="15"/>
  <c r="J299" i="15" s="1"/>
  <c r="J187" i="15"/>
  <c r="J188" i="15" s="1"/>
  <c r="D25" i="21" s="1"/>
  <c r="J115" i="15"/>
  <c r="J116" i="15" s="1"/>
  <c r="J127" i="15"/>
  <c r="J128" i="15" s="1"/>
  <c r="D19" i="21" s="1"/>
  <c r="J32" i="15"/>
  <c r="J33" i="15" s="1"/>
  <c r="D9" i="21" s="1"/>
  <c r="J110" i="15"/>
  <c r="J104" i="15"/>
  <c r="J105" i="15" s="1"/>
  <c r="J20" i="15"/>
  <c r="J11" i="15"/>
  <c r="J12" i="15" s="1"/>
  <c r="J3" i="15"/>
  <c r="L338" i="15" l="1"/>
  <c r="L339" i="15" s="1"/>
  <c r="E44" i="21" s="1"/>
  <c r="K32" i="15"/>
  <c r="K33" i="15" s="1"/>
  <c r="C9" i="21" s="1"/>
  <c r="K306" i="15"/>
  <c r="K307" i="15" s="1"/>
  <c r="C41" i="21" s="1"/>
  <c r="K110" i="15"/>
  <c r="K115" i="15"/>
  <c r="K116" i="15" s="1"/>
  <c r="K127" i="15"/>
  <c r="K128" i="15" s="1"/>
  <c r="C19" i="21" s="1"/>
  <c r="K104" i="15"/>
  <c r="K105" i="15" s="1"/>
  <c r="C16" i="21" s="1"/>
  <c r="K187" i="15"/>
  <c r="K188" i="15" s="1"/>
  <c r="C25" i="21" s="1"/>
  <c r="K258" i="15"/>
  <c r="K259" i="15" s="1"/>
  <c r="K310" i="15"/>
  <c r="K311" i="15" s="1"/>
  <c r="C42" i="21" s="1"/>
  <c r="K298" i="15"/>
  <c r="K299" i="15" s="1"/>
  <c r="L328" i="15"/>
  <c r="L329" i="15" s="1"/>
  <c r="E43" i="21" s="1"/>
  <c r="L32" i="15"/>
  <c r="L33" i="15" s="1"/>
  <c r="E9" i="21" s="1"/>
  <c r="L306" i="15"/>
  <c r="L307" i="15" s="1"/>
  <c r="E41" i="21" s="1"/>
  <c r="L127" i="15"/>
  <c r="L128" i="15" s="1"/>
  <c r="E19" i="21" s="1"/>
  <c r="L115" i="15"/>
  <c r="L116" i="15" s="1"/>
  <c r="L110" i="15"/>
  <c r="L104" i="15"/>
  <c r="L105" i="15" s="1"/>
  <c r="E16" i="21" s="1"/>
  <c r="L298" i="15"/>
  <c r="L299" i="15" s="1"/>
  <c r="L310" i="15"/>
  <c r="L311" i="15" s="1"/>
  <c r="E42" i="21" s="1"/>
  <c r="L258" i="15"/>
  <c r="L259" i="15" s="1"/>
  <c r="L187" i="15"/>
  <c r="L188" i="15" s="1"/>
  <c r="E25" i="21" s="1"/>
  <c r="D16" i="21"/>
  <c r="J358" i="15"/>
  <c r="D28" i="21"/>
  <c r="D31" i="21" s="1"/>
  <c r="D39" i="21"/>
  <c r="D45" i="21" s="1"/>
  <c r="J359" i="15"/>
  <c r="J111" i="15"/>
  <c r="J117" i="15"/>
  <c r="J118" i="15" s="1"/>
  <c r="J4" i="15"/>
  <c r="F18" i="15"/>
  <c r="J18" i="15" s="1"/>
  <c r="E7" i="17"/>
  <c r="E8" i="17"/>
  <c r="E9" i="17"/>
  <c r="E6" i="17"/>
  <c r="F16" i="15" s="1"/>
  <c r="D5" i="16"/>
  <c r="I5" i="16" s="1"/>
  <c r="L358" i="15" l="1"/>
  <c r="E28" i="21"/>
  <c r="E31" i="21" s="1"/>
  <c r="L359" i="15"/>
  <c r="E39" i="21"/>
  <c r="E45" i="21" s="1"/>
  <c r="K359" i="15"/>
  <c r="C39" i="21"/>
  <c r="C45" i="21" s="1"/>
  <c r="K18" i="15"/>
  <c r="L18" i="15"/>
  <c r="K111" i="15"/>
  <c r="K117" i="15"/>
  <c r="K118" i="15" s="1"/>
  <c r="L111" i="15"/>
  <c r="L117" i="15"/>
  <c r="L118" i="15" s="1"/>
  <c r="C28" i="21"/>
  <c r="C31" i="21" s="1"/>
  <c r="K358" i="15"/>
  <c r="J356" i="15"/>
  <c r="D17" i="21"/>
  <c r="D26" i="21" s="1"/>
  <c r="J16" i="15"/>
  <c r="K356" i="15" l="1"/>
  <c r="C17" i="21"/>
  <c r="C26" i="21" s="1"/>
  <c r="L16" i="15"/>
  <c r="L17" i="15" s="1"/>
  <c r="L5" i="15" s="1"/>
  <c r="K16" i="15"/>
  <c r="K17" i="15" s="1"/>
  <c r="K5" i="15" s="1"/>
  <c r="L356" i="15"/>
  <c r="E17" i="21"/>
  <c r="E26" i="21" s="1"/>
  <c r="J19" i="15"/>
  <c r="D7" i="24" s="1"/>
  <c r="J17" i="15"/>
  <c r="J5" i="15" s="1"/>
  <c r="D4" i="16"/>
  <c r="I4" i="16" s="1"/>
  <c r="D3" i="16"/>
  <c r="I3" i="16" s="1"/>
  <c r="K19" i="15" l="1"/>
  <c r="C7" i="24" s="1"/>
  <c r="L19" i="15"/>
  <c r="E7" i="24" s="1"/>
  <c r="J21" i="15"/>
  <c r="J23" i="15" s="1"/>
  <c r="D3" i="24" s="1"/>
  <c r="D11" i="24" s="1"/>
  <c r="L21" i="15" l="1"/>
  <c r="L22" i="15" s="1"/>
  <c r="E8" i="24" s="1"/>
  <c r="K21" i="15"/>
  <c r="K22" i="15" s="1"/>
  <c r="C8" i="24" s="1"/>
  <c r="J6" i="15"/>
  <c r="J7" i="15" s="1"/>
  <c r="J22" i="15"/>
  <c r="D8" i="24" s="1"/>
  <c r="J8" i="15"/>
  <c r="J9" i="15" s="1"/>
  <c r="D7" i="21" s="1"/>
  <c r="D66" i="21"/>
  <c r="K23" i="15" l="1"/>
  <c r="C3" i="24" s="1"/>
  <c r="K6" i="15"/>
  <c r="K7" i="15" s="1"/>
  <c r="L23" i="15"/>
  <c r="L24" i="15" s="1"/>
  <c r="L25" i="15" s="1"/>
  <c r="E8" i="21" s="1"/>
  <c r="L6" i="15"/>
  <c r="L7" i="15" s="1"/>
  <c r="D9" i="24"/>
  <c r="D12" i="24"/>
  <c r="D13" i="24" s="1"/>
  <c r="D14" i="24" s="1"/>
  <c r="J24" i="15"/>
  <c r="J25" i="15" s="1"/>
  <c r="J44" i="15" s="1"/>
  <c r="C66" i="21" l="1"/>
  <c r="K8" i="15"/>
  <c r="K9" i="15" s="1"/>
  <c r="C7" i="21" s="1"/>
  <c r="K24" i="15"/>
  <c r="K25" i="15" s="1"/>
  <c r="C8" i="21" s="1"/>
  <c r="E3" i="24"/>
  <c r="E66" i="21"/>
  <c r="L8" i="15"/>
  <c r="L9" i="15" s="1"/>
  <c r="C11" i="24"/>
  <c r="C12" i="24"/>
  <c r="C13" i="24" s="1"/>
  <c r="C14" i="24" s="1"/>
  <c r="C9" i="24"/>
  <c r="H8" i="23"/>
  <c r="G8" i="23"/>
  <c r="D8" i="21"/>
  <c r="D11" i="21" s="1"/>
  <c r="C11" i="21" l="1"/>
  <c r="C57" i="21" s="1"/>
  <c r="C18" i="24" s="1"/>
  <c r="K44" i="15"/>
  <c r="E7" i="21"/>
  <c r="E11" i="21" s="1"/>
  <c r="I12" i="23" s="1"/>
  <c r="L44" i="15"/>
  <c r="E11" i="24"/>
  <c r="E12" i="24"/>
  <c r="E9" i="24"/>
  <c r="H12" i="23"/>
  <c r="H13" i="23" s="1"/>
  <c r="G12" i="23"/>
  <c r="G14" i="23" s="1"/>
  <c r="D55" i="21"/>
  <c r="D16" i="24" s="1"/>
  <c r="D56" i="21"/>
  <c r="D17" i="24" s="1"/>
  <c r="D57" i="21"/>
  <c r="D18" i="24" s="1"/>
  <c r="F8" i="23"/>
  <c r="E8" i="23"/>
  <c r="G10" i="23"/>
  <c r="G9" i="23"/>
  <c r="H10" i="23"/>
  <c r="H9" i="23"/>
  <c r="C56" i="21" l="1"/>
  <c r="C17" i="24" s="1"/>
  <c r="C55" i="21"/>
  <c r="C16" i="24" s="1"/>
  <c r="F12" i="23"/>
  <c r="F14" i="23" s="1"/>
  <c r="E13" i="24"/>
  <c r="E14" i="24" s="1"/>
  <c r="J8" i="23" s="1"/>
  <c r="E12" i="23"/>
  <c r="E13" i="23" s="1"/>
  <c r="J12" i="23"/>
  <c r="J14" i="23" s="1"/>
  <c r="E57" i="21"/>
  <c r="E56" i="21"/>
  <c r="E55" i="21"/>
  <c r="F10" i="23"/>
  <c r="F9" i="23"/>
  <c r="I14" i="23"/>
  <c r="I13" i="23"/>
  <c r="E10" i="23"/>
  <c r="E9" i="23"/>
  <c r="H31" i="23"/>
  <c r="H32" i="23" s="1"/>
  <c r="H33" i="23" s="1"/>
  <c r="G13" i="23"/>
  <c r="H14" i="23"/>
  <c r="F13" i="23" l="1"/>
  <c r="F31" i="23" s="1"/>
  <c r="F32" i="23" s="1"/>
  <c r="F33" i="23" s="1"/>
  <c r="H34" i="23" s="1"/>
  <c r="I8" i="23"/>
  <c r="I9" i="23" s="1"/>
  <c r="I31" i="23" s="1"/>
  <c r="I32" i="23" s="1"/>
  <c r="I33" i="23" s="1"/>
  <c r="E16" i="24"/>
  <c r="E17" i="24"/>
  <c r="E14" i="23"/>
  <c r="E18" i="24"/>
  <c r="J13" i="23"/>
  <c r="J9" i="23"/>
  <c r="J10" i="23"/>
  <c r="E31" i="23"/>
  <c r="E32" i="23" s="1"/>
  <c r="E33" i="23" s="1"/>
  <c r="G31" i="23"/>
  <c r="G32" i="23" s="1"/>
  <c r="G33" i="23" s="1"/>
  <c r="J31" i="23" l="1"/>
  <c r="J32" i="23" s="1"/>
  <c r="J33" i="23" s="1"/>
  <c r="I10" i="23"/>
  <c r="G34"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Azzolina, Nick</author>
  </authors>
  <commentList>
    <comment ref="M1" authorId="0" shapeId="0" xr:uid="{00000000-0006-0000-0100-000001000000}">
      <text>
        <r>
          <rPr>
            <b/>
            <sz val="9"/>
            <color indexed="81"/>
            <rFont val="Tahoma"/>
            <family val="2"/>
          </rPr>
          <t>Azzolina, Nick:</t>
        </r>
        <r>
          <rPr>
            <sz val="9"/>
            <color indexed="81"/>
            <rFont val="Tahoma"/>
            <family val="2"/>
          </rPr>
          <t xml:space="preserve">
Gas separation ("S");
Ryan-Holmes ("RH");
Refrigeration/fractionation ("RF"); and
Membrane ("M").</t>
        </r>
      </text>
    </comment>
  </commentList>
</comments>
</file>

<file path=xl/sharedStrings.xml><?xml version="1.0" encoding="utf-8"?>
<sst xmlns="http://schemas.openxmlformats.org/spreadsheetml/2006/main" count="2846" uniqueCount="871">
  <si>
    <t>kWh/tonne</t>
  </si>
  <si>
    <t>From</t>
  </si>
  <si>
    <t>To</t>
  </si>
  <si>
    <t>Multiply by</t>
  </si>
  <si>
    <t>lb/MMBtu</t>
  </si>
  <si>
    <t>g/MJ</t>
  </si>
  <si>
    <t>===&gt;</t>
  </si>
  <si>
    <t>g/kWh</t>
  </si>
  <si>
    <t>kg/MWh</t>
  </si>
  <si>
    <t>Example Calculation</t>
  </si>
  <si>
    <t>Upstream</t>
  </si>
  <si>
    <t>Net plant efficiency</t>
  </si>
  <si>
    <t>fraction</t>
  </si>
  <si>
    <t>Constant</t>
  </si>
  <si>
    <t>Notes</t>
  </si>
  <si>
    <t>Derived from the coal mining, processing, and transport and the net plant efficiency</t>
  </si>
  <si>
    <t>Coal mining, processing, and transport</t>
  </si>
  <si>
    <t>Heat rate</t>
  </si>
  <si>
    <t>kJ/kWh</t>
  </si>
  <si>
    <t>Derived from one unit of electricity (kWh = 3600 kJ/hr) and the net plant efficiency</t>
  </si>
  <si>
    <t>Derived</t>
  </si>
  <si>
    <t>Select coal type</t>
  </si>
  <si>
    <t>Coal type</t>
  </si>
  <si>
    <t>Coal Rank</t>
  </si>
  <si>
    <t>Bituminous</t>
  </si>
  <si>
    <t>Sub-bituminous</t>
  </si>
  <si>
    <t>Lignite</t>
  </si>
  <si>
    <t>kg C / kg coal</t>
  </si>
  <si>
    <t>HHV (kWh / kg)</t>
  </si>
  <si>
    <t>HHV (kJ / kg)</t>
  </si>
  <si>
    <t>Jaramillo et al. (2007; 2009)</t>
  </si>
  <si>
    <t>Coal mining, processing, and transport (adjusted for net plant efficiency)</t>
  </si>
  <si>
    <t>User selects from one of four types of coals from Rubin et al. (2007)</t>
  </si>
  <si>
    <t>High heating value (HHV)</t>
  </si>
  <si>
    <t>Lookup function based on user selection above</t>
  </si>
  <si>
    <t>Carbon fraction of the coal</t>
  </si>
  <si>
    <t>Coal plant emissions (adjusted for net plant efficiency)</t>
  </si>
  <si>
    <t>Rubin et al. (2007) as published in IPCC (2005)</t>
  </si>
  <si>
    <t>McCoy (2008) and Jaramillo et al. (2009)</t>
  </si>
  <si>
    <t>Coal-fired power plant</t>
  </si>
  <si>
    <t>Coal mining, processing and transport</t>
  </si>
  <si>
    <t>Pittsburgh #8 (bituminous)</t>
  </si>
  <si>
    <t>Illinois #6 (bituminous)</t>
  </si>
  <si>
    <t>Wyoming Powder River Basin (sub-bituminous)</t>
  </si>
  <si>
    <t>North Dakota Lignite (lignite)</t>
  </si>
  <si>
    <t>Pipeline distance</t>
  </si>
  <si>
    <t>km</t>
  </si>
  <si>
    <t>Jaramillo et al. (2009)</t>
  </si>
  <si>
    <t>kWh / kg</t>
  </si>
  <si>
    <t>kg</t>
  </si>
  <si>
    <t>yr</t>
  </si>
  <si>
    <t>Melzer (2012); Azzolina et al. (2015)</t>
  </si>
  <si>
    <t>Gate-to-Gate</t>
  </si>
  <si>
    <t>Ryan-Holmes</t>
  </si>
  <si>
    <t>Membrane</t>
  </si>
  <si>
    <t>Hydrocarbon gas production rate</t>
  </si>
  <si>
    <t>Brine production rate</t>
  </si>
  <si>
    <t>Brine injection rate</t>
  </si>
  <si>
    <t>Crude artificial lift pump electricity</t>
  </si>
  <si>
    <t>bbl</t>
  </si>
  <si>
    <t>Brine disposal pump electricity</t>
  </si>
  <si>
    <t>Crude Recovery Ratio</t>
  </si>
  <si>
    <t>Compressor power factor</t>
  </si>
  <si>
    <t>Brine injection pump electricity</t>
  </si>
  <si>
    <t>kg/bbl</t>
  </si>
  <si>
    <t>hours</t>
  </si>
  <si>
    <t>Brine Production Rate</t>
  </si>
  <si>
    <t>kg brine/kg crude</t>
  </si>
  <si>
    <t>Brine Injection Rate</t>
  </si>
  <si>
    <t>Btu/ton-mile</t>
  </si>
  <si>
    <t>Btu/ton-mi</t>
  </si>
  <si>
    <t>J/kg-km</t>
  </si>
  <si>
    <t>kWh/kg-km</t>
  </si>
  <si>
    <t>Downstream</t>
  </si>
  <si>
    <t>DOE-NETL (2008)</t>
  </si>
  <si>
    <t>%</t>
  </si>
  <si>
    <t>Fraction of total refinery production (gasoline)</t>
  </si>
  <si>
    <t>Fraction of total refinery production (diesel)</t>
  </si>
  <si>
    <t>Fraction of total refinery production (kerosene and kerosene-based jet fuel)</t>
  </si>
  <si>
    <t>Fraction of total refinery production (residual fuel oil)</t>
  </si>
  <si>
    <t>Fraction of total refinery production (coke)</t>
  </si>
  <si>
    <t>Fraction of total refinery production (light ends)</t>
  </si>
  <si>
    <t>Fraction of total refinery production (heavy ends)</t>
  </si>
  <si>
    <t>Product-weighted average emissions factor</t>
  </si>
  <si>
    <t>One-way energy intensity</t>
  </si>
  <si>
    <t>Btu / ton-mile</t>
  </si>
  <si>
    <t>kWh / kg-km</t>
  </si>
  <si>
    <t>Assumes pipeline distances from Midland, TX, to either Cushion, Oklahoma or Houston, Texas.</t>
  </si>
  <si>
    <t>Crude oil density</t>
  </si>
  <si>
    <t>degrees API</t>
  </si>
  <si>
    <t>Mass of crude oil transported</t>
  </si>
  <si>
    <t>Derived from the barrels of oil produced and the oil density per barrel</t>
  </si>
  <si>
    <t>kg / bbl</t>
  </si>
  <si>
    <t>kg/m3</t>
  </si>
  <si>
    <t>OOIP</t>
  </si>
  <si>
    <t>Incremental oil recovery factor for EOR</t>
  </si>
  <si>
    <t>%OOIP</t>
  </si>
  <si>
    <t>Azzolina et al. (2015)</t>
  </si>
  <si>
    <t>Derived from OOIP and incremental oil recovery factor</t>
  </si>
  <si>
    <t>One-way energy use</t>
  </si>
  <si>
    <t>kWh</t>
  </si>
  <si>
    <t>Derived from the one-way energy intensity, pipeline distance, and mass of crude oil transported</t>
  </si>
  <si>
    <t>MWh</t>
  </si>
  <si>
    <t>Unit conversion from kWh to MWh</t>
  </si>
  <si>
    <t>Unit conversion from Btu/ton-mile to kWh/kg-km</t>
  </si>
  <si>
    <t>lbs</t>
  </si>
  <si>
    <t>Crude oil transport by pipeline to refinery</t>
  </si>
  <si>
    <t>Crude oil refining</t>
  </si>
  <si>
    <t>Fuel transport to point-of-sale</t>
  </si>
  <si>
    <t>Transport-weighted average emissions factor</t>
  </si>
  <si>
    <t>Dowstream</t>
  </si>
  <si>
    <t>Fuel combustion</t>
  </si>
  <si>
    <t>Mass of coal required</t>
  </si>
  <si>
    <t>Emissions from pipeline electricity needs</t>
  </si>
  <si>
    <t>MWh / kg</t>
  </si>
  <si>
    <t>kWh / tonne</t>
  </si>
  <si>
    <r>
      <t>kg CO</t>
    </r>
    <r>
      <rPr>
        <vertAlign val="subscript"/>
        <sz val="10"/>
        <color theme="1"/>
        <rFont val="Calibri"/>
        <family val="2"/>
        <scheme val="minor"/>
      </rPr>
      <t>2</t>
    </r>
    <r>
      <rPr>
        <sz val="10"/>
        <color theme="1"/>
        <rFont val="Calibri"/>
        <family val="2"/>
        <scheme val="minor"/>
      </rPr>
      <t>e</t>
    </r>
  </si>
  <si>
    <t>MWh/kg</t>
  </si>
  <si>
    <t>Conversion from Mscf/bbl to kg/bbl</t>
  </si>
  <si>
    <t>Mscf/bbl</t>
  </si>
  <si>
    <t>Mt</t>
  </si>
  <si>
    <t>Energy needs of the coal plant</t>
  </si>
  <si>
    <t>kg coal / MWh</t>
  </si>
  <si>
    <t>Mass of coal required per unit of energy</t>
  </si>
  <si>
    <t>kJ / kg</t>
  </si>
  <si>
    <t>kWh/kg</t>
  </si>
  <si>
    <t>kJ/kg</t>
  </si>
  <si>
    <t>Unit conversion from kg to Mt</t>
  </si>
  <si>
    <t>SEGMENT</t>
  </si>
  <si>
    <t>SUB-SEGMENT</t>
  </si>
  <si>
    <t>PARAMETER DESCRIPTION</t>
  </si>
  <si>
    <t>UNITS</t>
  </si>
  <si>
    <t>LOW</t>
  </si>
  <si>
    <t>EXPECTED</t>
  </si>
  <si>
    <t>HIGH</t>
  </si>
  <si>
    <t>NOTES</t>
  </si>
  <si>
    <t>BASE CASE</t>
  </si>
  <si>
    <t>UPSTREAM: COAL-FIRED POWER PLANT</t>
  </si>
  <si>
    <t>Note: This portion of the model is taken largely from DOE-NETL (2008), with exceptions noted in the text.</t>
  </si>
  <si>
    <t>DOWNSTREAM: CRUDE OIL TRANSPORT BY PIPELINE TO REFINERY</t>
  </si>
  <si>
    <t>DOWNSTREAM: CRUDE OIL REFINING</t>
  </si>
  <si>
    <t>DOWNSTREAM: FUEL TRANSPORT TO POINT-OF-SALE</t>
  </si>
  <si>
    <t>DOWNSTREAM: FUEL COMBUSTION</t>
  </si>
  <si>
    <t>Hydrocarbon Gas Production Rate</t>
  </si>
  <si>
    <t>kg gas/kg crude</t>
  </si>
  <si>
    <t>C =</t>
  </si>
  <si>
    <t>k =</t>
  </si>
  <si>
    <t>Derived from incremental oil recovery and the oil density</t>
  </si>
  <si>
    <t>Crude oil produced</t>
  </si>
  <si>
    <t>kg gas / kg crude</t>
  </si>
  <si>
    <t>kg brine / kg crude</t>
  </si>
  <si>
    <t>Crude recovery ratio</t>
  </si>
  <si>
    <t>Hydrocarbon gas production</t>
  </si>
  <si>
    <t>Brine production</t>
  </si>
  <si>
    <t>Brine injection</t>
  </si>
  <si>
    <t>kg gas</t>
  </si>
  <si>
    <t>kg brine</t>
  </si>
  <si>
    <t>Derived from the hydrocarbon gas production rate and the crude oil produced</t>
  </si>
  <si>
    <t>Derived from the brine production rate and the crude oil produced</t>
  </si>
  <si>
    <t>days</t>
  </si>
  <si>
    <t>minutes</t>
  </si>
  <si>
    <t>Unit conversion from years to days</t>
  </si>
  <si>
    <t>Unit conversion from days to hours</t>
  </si>
  <si>
    <t>Unit conversion from hours to minutes</t>
  </si>
  <si>
    <t>DOWNSTREAM: TOTAL (SUM OF EACH SUB-SEGMENT)</t>
  </si>
  <si>
    <t>Melzer (2012)</t>
  </si>
  <si>
    <t>GATE-TO-GATE: LAND USE</t>
  </si>
  <si>
    <t>Emissions per sq meter of repurposed land</t>
  </si>
  <si>
    <t>Land use</t>
  </si>
  <si>
    <r>
      <t>m</t>
    </r>
    <r>
      <rPr>
        <vertAlign val="superscript"/>
        <sz val="10"/>
        <color theme="1"/>
        <rFont val="Calibri"/>
        <family val="2"/>
        <scheme val="minor"/>
      </rPr>
      <t>2</t>
    </r>
  </si>
  <si>
    <t>Derived from Cooney et al. (2015)</t>
  </si>
  <si>
    <t>Derived from the land area repurposed and the emissions per sq meter of repurposed land</t>
  </si>
  <si>
    <t>Construction</t>
  </si>
  <si>
    <t>Not modeled, taken from Cooney et al. (2015)</t>
  </si>
  <si>
    <t>EOR gas processing facility construction</t>
  </si>
  <si>
    <t>Water disposal well construction</t>
  </si>
  <si>
    <t>Injection well construction</t>
  </si>
  <si>
    <t>Emissions factor from pipeline electricity needs</t>
  </si>
  <si>
    <t>Fuel combustion emissions factor</t>
  </si>
  <si>
    <t>kg crude</t>
  </si>
  <si>
    <t>kg crude / bbl</t>
  </si>
  <si>
    <t>Crude artificial lift pump electricity rate</t>
  </si>
  <si>
    <t>kWh / kg crude</t>
  </si>
  <si>
    <t>Cooney et al. (2015)</t>
  </si>
  <si>
    <t>Derived from the artificial lift pump electricity rate and the kg of crude produced</t>
  </si>
  <si>
    <t>Derived from the MWh and the life-cycle delivered electricity emissions factor</t>
  </si>
  <si>
    <t>MW</t>
  </si>
  <si>
    <t>Compressor energy</t>
  </si>
  <si>
    <t>Compressor power</t>
  </si>
  <si>
    <t>Derived from the compressor power and the hours of operation</t>
  </si>
  <si>
    <t>MW/[tonne injected CO₂/day]</t>
  </si>
  <si>
    <t>Derived from the pump power and the hours of operation</t>
  </si>
  <si>
    <t>Brine injection pump electricity rate</t>
  </si>
  <si>
    <t>kWh / kg brine injected</t>
  </si>
  <si>
    <t>Derived from the brine injection pump electricity rate and the kg of brine injected</t>
  </si>
  <si>
    <t>Derived from a unit conversion from kg to tonnes and the days of operation</t>
  </si>
  <si>
    <t>VOC vent rate</t>
  </si>
  <si>
    <t>Flare rate (% of vented VOC that is flared)</t>
  </si>
  <si>
    <t>Combustion efficiency</t>
  </si>
  <si>
    <t>kg VOC / kg crude throughput</t>
  </si>
  <si>
    <t>VOC flared</t>
  </si>
  <si>
    <t>kg VOC</t>
  </si>
  <si>
    <t>kg VOC / kg crude</t>
  </si>
  <si>
    <t>MMBtu/yr</t>
  </si>
  <si>
    <t>MWh/yr</t>
  </si>
  <si>
    <t>Natural gas usage rate</t>
  </si>
  <si>
    <t>kg natural gas / kg crude</t>
  </si>
  <si>
    <t>Natural gas usage</t>
  </si>
  <si>
    <t>kg natural gas</t>
  </si>
  <si>
    <t>Derived from the natural gas usage rate and the kg of crude oil produced</t>
  </si>
  <si>
    <t>IPCC (2013) 100-year global warming potentials</t>
  </si>
  <si>
    <r>
      <t>kg N</t>
    </r>
    <r>
      <rPr>
        <vertAlign val="subscript"/>
        <sz val="10"/>
        <color theme="1"/>
        <rFont val="Calibri"/>
        <family val="2"/>
        <scheme val="minor"/>
      </rPr>
      <t>2</t>
    </r>
    <r>
      <rPr>
        <sz val="10"/>
        <color theme="1"/>
        <rFont val="Calibri"/>
        <family val="2"/>
        <scheme val="minor"/>
      </rPr>
      <t>O</t>
    </r>
  </si>
  <si>
    <t>Vent rate (% of VOC that is vented)</t>
  </si>
  <si>
    <t>VOC vented</t>
  </si>
  <si>
    <t>Derived from the VOC uncontrolled emissions rate, flare rate, and kg of crude oil produced</t>
  </si>
  <si>
    <t>VOC uncontrolled emissions rate to venting and flaring</t>
  </si>
  <si>
    <t>Derived from the VOC uncontrolled emissions rate, vent rate, and kg of crude oil produced</t>
  </si>
  <si>
    <t>Derived from the sum of compressor and pump emissions</t>
  </si>
  <si>
    <t>Derived from (1 - VOC flare rate)</t>
  </si>
  <si>
    <t>GATE-TO-GATE: CRUDE STORAGE - VENTING AND FLARING</t>
  </si>
  <si>
    <t>VOC vent</t>
  </si>
  <si>
    <t>Flared VOC (accounting for flare rate)</t>
  </si>
  <si>
    <t>Derived from VOC vent rate and kg crude produced</t>
  </si>
  <si>
    <t>Derived from the kg VOC and the flare rate</t>
  </si>
  <si>
    <t>CO2 emitted from flare</t>
  </si>
  <si>
    <t>Derived from the difference between produced brine and injected brine</t>
  </si>
  <si>
    <t>Produced water methane content</t>
  </si>
  <si>
    <t>mg / L</t>
  </si>
  <si>
    <t>Produced water density</t>
  </si>
  <si>
    <t>Percent of methane released to atmosphere</t>
  </si>
  <si>
    <t>Methane relased to atmosphere</t>
  </si>
  <si>
    <t>Produced water volume</t>
  </si>
  <si>
    <r>
      <t>kg CH</t>
    </r>
    <r>
      <rPr>
        <vertAlign val="subscript"/>
        <sz val="10"/>
        <color theme="1"/>
        <rFont val="Calibri"/>
        <family val="2"/>
        <scheme val="minor"/>
      </rPr>
      <t>4</t>
    </r>
  </si>
  <si>
    <t>Derived from the produced water methane content, barrels of produced water, and percent released to the atmosphere</t>
  </si>
  <si>
    <t>Produced water for disposal</t>
  </si>
  <si>
    <t>Estimated using the correlation of Rogers and Pitzer (1982) and the mg/L of total dissolved solids (TDS)</t>
  </si>
  <si>
    <t>Produced water total dissolved solids (TDS)</t>
  </si>
  <si>
    <t>Brine disposal pump electricity rate</t>
  </si>
  <si>
    <t>kWh / kg brine disposal injected</t>
  </si>
  <si>
    <t>Land area of gas processing facility</t>
  </si>
  <si>
    <t>acre</t>
  </si>
  <si>
    <t>acres</t>
  </si>
  <si>
    <t>Well footprint</t>
  </si>
  <si>
    <t>Number of wells</t>
  </si>
  <si>
    <t>count</t>
  </si>
  <si>
    <t>Total footprint of all wells</t>
  </si>
  <si>
    <t>Derived from the well footprint and total number of wells</t>
  </si>
  <si>
    <t>Total land area repurposed (gas processing facility + wells)</t>
  </si>
  <si>
    <t>Derived from land area of the gas processing facility and total wells</t>
  </si>
  <si>
    <t>Derived from the brine injection rate and the crude oil produced</t>
  </si>
  <si>
    <t>API (2009); Lamb et al. (2015)</t>
  </si>
  <si>
    <t>Assumed</t>
  </si>
  <si>
    <t>Number of pipeline services per year</t>
  </si>
  <si>
    <t>services / year</t>
  </si>
  <si>
    <t>Unit conversion from kWh/kg to kJ/kg</t>
  </si>
  <si>
    <t>Derived using Eq. 1 and the HHV, carbon fraction, and net plant efficiency</t>
  </si>
  <si>
    <t>Unit conversion from kWh/tonne to MWh/kg</t>
  </si>
  <si>
    <t>MW/[tonne recycled CO₂/day]</t>
  </si>
  <si>
    <t>Derived from the produced water for disposal and the produced water density</t>
  </si>
  <si>
    <t>Derived from the kg of produced water for disposal and the pump electricity rate</t>
  </si>
  <si>
    <t>GATE-TO-GATE: GAS PROCESSING (RYAN-HOLMES)</t>
  </si>
  <si>
    <t>Diesel use</t>
  </si>
  <si>
    <t>MJ diesel</t>
  </si>
  <si>
    <t>Diesel lower heating value (LHV)</t>
  </si>
  <si>
    <t>Derived from the MJ of diesel required and the diesel use per MJ</t>
  </si>
  <si>
    <t>Diesel use per MJ of energy</t>
  </si>
  <si>
    <t>Electricity rate per unit of gas</t>
  </si>
  <si>
    <t>Diesel density</t>
  </si>
  <si>
    <t>Derived from the L of diesel required and the diesel density</t>
  </si>
  <si>
    <t>Electricity used</t>
  </si>
  <si>
    <t>NGL recovered for tank storage</t>
  </si>
  <si>
    <t>kg NGL</t>
  </si>
  <si>
    <t>NGL energy content</t>
  </si>
  <si>
    <t>MJ / kg NGL</t>
  </si>
  <si>
    <t>MJ</t>
  </si>
  <si>
    <t>Derived from the NGL energy content and the kg of NGL produced</t>
  </si>
  <si>
    <t>NGL energy</t>
  </si>
  <si>
    <t>MWh / kg EOR reinjection gas</t>
  </si>
  <si>
    <t>Derived from the recovery rate and the kg of EOR reinjection gas</t>
  </si>
  <si>
    <t>Derived from the energy content and the kg of propane</t>
  </si>
  <si>
    <t>Derived from the energy content and the kg of butane</t>
  </si>
  <si>
    <t>Derived from the energy content and the kg of pentane</t>
  </si>
  <si>
    <t>kg / kg EOR reinjection gas</t>
  </si>
  <si>
    <t>EOR reinjection gas</t>
  </si>
  <si>
    <t>GATE-TO-GATE: GAS PROCESSING (REFRIGERATION/FRACTIONATION)</t>
  </si>
  <si>
    <t>kg EOR reinjection gas</t>
  </si>
  <si>
    <t>Derived from the natural gas usage rate and the kg of EOR reinjection gas</t>
  </si>
  <si>
    <t>GATE-TO-GATE: GAS PROCESSING (MEMBRANE)</t>
  </si>
  <si>
    <t>Diesel (purchased) thermal energy rate for backup power generator</t>
  </si>
  <si>
    <t>Diesel (purchased) thermal energy for backup power generator</t>
  </si>
  <si>
    <t>kg diesel</t>
  </si>
  <si>
    <t>kg diesel / L diesel</t>
  </si>
  <si>
    <t>MJ / L diesel</t>
  </si>
  <si>
    <t>L diesel / MJ</t>
  </si>
  <si>
    <t>L diesel</t>
  </si>
  <si>
    <t>Energy usage per kg of fluid compressed</t>
  </si>
  <si>
    <t>Mass of fluid for compression</t>
  </si>
  <si>
    <t>MWh / kg fluid</t>
  </si>
  <si>
    <t>Energy use</t>
  </si>
  <si>
    <t>Derived from the mass of fluid for compression and the energy usage rate</t>
  </si>
  <si>
    <t>Compressor fugitive emissions rate</t>
  </si>
  <si>
    <t>Derived from the compressor fugitive emissions rate and the kg of fluid compressed</t>
  </si>
  <si>
    <t>Derived using the heat rate and HHV of the coal with unit conversion from kWh to MWh</t>
  </si>
  <si>
    <t>User-defined input [Right now set to yield 302,000 bbl of oil for direct comparability to Cooney et al. (2015)]</t>
  </si>
  <si>
    <t>bbl crude</t>
  </si>
  <si>
    <t>bbl OOIP</t>
  </si>
  <si>
    <t>kg CO2 / bbl</t>
  </si>
  <si>
    <t>Btu / kg natural gas</t>
  </si>
  <si>
    <t>Btu</t>
  </si>
  <si>
    <t>Natural gas use rate (2 turbines + 3 compressors)</t>
  </si>
  <si>
    <t>Emissions factor for natural gas</t>
  </si>
  <si>
    <t>Btu of energy per kg of natural gas</t>
  </si>
  <si>
    <t>Btu of energy</t>
  </si>
  <si>
    <t>Derived from the emissions factor for natural gas and the Btu of natural gas</t>
  </si>
  <si>
    <t>Unit conversion from lb to kg</t>
  </si>
  <si>
    <t>Amine solvent makeup rate</t>
  </si>
  <si>
    <t>kg solvent</t>
  </si>
  <si>
    <t>kg of amine solvent used</t>
  </si>
  <si>
    <t>kg purchased natural gas</t>
  </si>
  <si>
    <t>Purchased natural gas rate</t>
  </si>
  <si>
    <t>kg of purchased natural gas</t>
  </si>
  <si>
    <t>Derived from the energy content of natural gas and the kg of natural gas</t>
  </si>
  <si>
    <r>
      <t>Rubin, E. S.; Rao, A. B.; Chen, C., 2007. Cost and Performance of fossil fuel power plants with CO</t>
    </r>
    <r>
      <rPr>
        <vertAlign val="subscript"/>
        <sz val="11"/>
        <color theme="1"/>
        <rFont val="Calibri"/>
        <family val="2"/>
        <scheme val="minor"/>
      </rPr>
      <t>2</t>
    </r>
    <r>
      <rPr>
        <sz val="11"/>
        <color theme="1"/>
        <rFont val="Calibri"/>
        <family val="2"/>
        <scheme val="minor"/>
      </rPr>
      <t xml:space="preserve"> capture and storage. </t>
    </r>
    <r>
      <rPr>
        <i/>
        <sz val="11"/>
        <color theme="1"/>
        <rFont val="Calibri"/>
        <family val="2"/>
        <scheme val="minor"/>
      </rPr>
      <t>Energy Policy</t>
    </r>
    <r>
      <rPr>
        <sz val="11"/>
        <color theme="1"/>
        <rFont val="Calibri"/>
        <family val="2"/>
        <scheme val="minor"/>
      </rPr>
      <t>, 35 (9), 4444-4454.</t>
    </r>
  </si>
  <si>
    <r>
      <t>(bbl/tonne CO</t>
    </r>
    <r>
      <rPr>
        <vertAlign val="subscript"/>
        <sz val="11"/>
        <color theme="0"/>
        <rFont val="Calibri"/>
        <family val="2"/>
        <scheme val="minor"/>
      </rPr>
      <t>2</t>
    </r>
    <r>
      <rPr>
        <sz val="11"/>
        <color theme="0"/>
        <rFont val="Calibri"/>
        <family val="2"/>
        <scheme val="minor"/>
      </rPr>
      <t>)</t>
    </r>
  </si>
  <si>
    <t>Data from DOE-NETL (2013a), Table 1-2</t>
  </si>
  <si>
    <t>Energy usage</t>
  </si>
  <si>
    <t>Natural gas usage rate for amine capture</t>
  </si>
  <si>
    <t>Product emissions factor × fraction of total refinery production</t>
  </si>
  <si>
    <t>kg feed gas for amine system</t>
  </si>
  <si>
    <t>Product hydrocarbon stream from membrane separation</t>
  </si>
  <si>
    <t>kg hydrocarbon stream / kg inlet flow</t>
  </si>
  <si>
    <t>Inflow stream for post-membrane amine separation</t>
  </si>
  <si>
    <t>Sales gas (NGLs) generated</t>
  </si>
  <si>
    <t>kg sales gas (NGL)</t>
  </si>
  <si>
    <t>GATE-TO-GATE: TOTAL (SUM OF EACH SUB-SEGMENT): RYAN-HOLMES</t>
  </si>
  <si>
    <t>GATE-TO-GATE: TOTAL (SUM OF EACH SUB-SEGMENT): REFRIGERATION/FRACTIONATION</t>
  </si>
  <si>
    <t>GATE-TO-GATE: TOTAL (SUM OF EACH SUB-SEGMENT): MEMBRANE</t>
  </si>
  <si>
    <t>GATE-TO-GATE: TOTAL (SUM OF EACH SUB-SEGMENT): EXCLUDES GAS SEPARATION STEP</t>
  </si>
  <si>
    <t>S</t>
  </si>
  <si>
    <t>RH</t>
  </si>
  <si>
    <t>RF</t>
  </si>
  <si>
    <t>M</t>
  </si>
  <si>
    <r>
      <t>kg CO</t>
    </r>
    <r>
      <rPr>
        <vertAlign val="subscript"/>
        <sz val="10"/>
        <color theme="1"/>
        <rFont val="Calibri"/>
        <family val="2"/>
        <scheme val="minor"/>
      </rPr>
      <t>2</t>
    </r>
    <r>
      <rPr>
        <sz val="10"/>
        <color theme="1"/>
        <rFont val="Calibri"/>
        <family val="2"/>
        <scheme val="minor"/>
      </rPr>
      <t>e/bbl</t>
    </r>
  </si>
  <si>
    <r>
      <t>Pipeline transport of CO</t>
    </r>
    <r>
      <rPr>
        <vertAlign val="subscript"/>
        <sz val="10"/>
        <color theme="1"/>
        <rFont val="Calibri"/>
        <family val="2"/>
        <scheme val="minor"/>
      </rPr>
      <t>2</t>
    </r>
    <r>
      <rPr>
        <sz val="10"/>
        <color theme="1"/>
        <rFont val="Calibri"/>
        <family val="2"/>
        <scheme val="minor"/>
      </rPr>
      <t xml:space="preserve"> (Electricity)</t>
    </r>
  </si>
  <si>
    <r>
      <t>Pipeline transport of CO</t>
    </r>
    <r>
      <rPr>
        <vertAlign val="subscript"/>
        <sz val="10"/>
        <color theme="1"/>
        <rFont val="Calibri"/>
        <family val="2"/>
        <scheme val="minor"/>
      </rPr>
      <t>2</t>
    </r>
    <r>
      <rPr>
        <sz val="10"/>
        <color theme="1"/>
        <rFont val="Calibri"/>
        <family val="2"/>
        <scheme val="minor"/>
      </rPr>
      <t xml:space="preserve"> (Fugitive emissions)</t>
    </r>
  </si>
  <si>
    <t>Subtotal:</t>
  </si>
  <si>
    <t>Oil, gas, and water separation, Venting and flaring</t>
  </si>
  <si>
    <t>Oil, gas, and water separation, Natural gas upstream</t>
  </si>
  <si>
    <t>Oil, gas, and water separation, Natural gas combustion</t>
  </si>
  <si>
    <t>Crude storage, Venting and flaring</t>
  </si>
  <si>
    <t>Brine storage, Venting and flaring</t>
  </si>
  <si>
    <t>Brine storage, Injection well (Electricity)</t>
  </si>
  <si>
    <t>Gas processing, Ryan-Holmes (Diesel upstream)</t>
  </si>
  <si>
    <t>Gas processing, Ryan-Holmes (Diesel combustion)</t>
  </si>
  <si>
    <t>Gas processing, Ryan-Holmes (Natural gas upstream)</t>
  </si>
  <si>
    <t>Gas processing, Ryan-Holmes (Natural gas combustion)</t>
  </si>
  <si>
    <t>Gas processing, Refrigeration/fractionation (Electricity)</t>
  </si>
  <si>
    <t>Gas processing, Refrigeration/fractionation (Natural gas upstream)</t>
  </si>
  <si>
    <t>Gas processing, Refrigeration/fractionation (Natural gas combustion)</t>
  </si>
  <si>
    <t>Gas processing, Membrane (Compressor electricity)</t>
  </si>
  <si>
    <t>Gas processing, Membrane (Compressor fugitive emissions)</t>
  </si>
  <si>
    <t>Gas processing, Membrane (Dehydration electricity)</t>
  </si>
  <si>
    <t>Gas processing, Membrane (Chiller electricity)</t>
  </si>
  <si>
    <t>Gas processing, Membrane (Natural gas upstream)</t>
  </si>
  <si>
    <t>Gas processing, Membrane (Natural gas combustion)</t>
  </si>
  <si>
    <r>
      <t>CO</t>
    </r>
    <r>
      <rPr>
        <vertAlign val="subscript"/>
        <sz val="10"/>
        <color theme="1"/>
        <rFont val="Calibri"/>
        <family val="2"/>
        <scheme val="minor"/>
      </rPr>
      <t>2</t>
    </r>
    <r>
      <rPr>
        <sz val="10"/>
        <color theme="1"/>
        <rFont val="Calibri"/>
        <family val="2"/>
        <scheme val="minor"/>
      </rPr>
      <t xml:space="preserve"> stored in the reservoir</t>
    </r>
  </si>
  <si>
    <r>
      <t>CO</t>
    </r>
    <r>
      <rPr>
        <vertAlign val="subscript"/>
        <sz val="10"/>
        <color theme="1"/>
        <rFont val="Calibri"/>
        <family val="2"/>
        <scheme val="minor"/>
      </rPr>
      <t>2</t>
    </r>
    <r>
      <rPr>
        <sz val="10"/>
        <color theme="1"/>
        <rFont val="Calibri"/>
        <family val="2"/>
        <scheme val="minor"/>
      </rPr>
      <t xml:space="preserve"> leakage from reservoir over 100-year timeframe</t>
    </r>
  </si>
  <si>
    <r>
      <t>Fugitive surface losses of purchased CO</t>
    </r>
    <r>
      <rPr>
        <vertAlign val="subscript"/>
        <sz val="10"/>
        <color theme="1"/>
        <rFont val="Calibri"/>
        <family val="2"/>
        <scheme val="minor"/>
      </rPr>
      <t>2</t>
    </r>
    <r>
      <rPr>
        <sz val="10"/>
        <color theme="1"/>
        <rFont val="Calibri"/>
        <family val="2"/>
        <scheme val="minor"/>
      </rPr>
      <t xml:space="preserve"> over project life-cycle</t>
    </r>
  </si>
  <si>
    <r>
      <t>Net CO</t>
    </r>
    <r>
      <rPr>
        <vertAlign val="subscript"/>
        <sz val="10"/>
        <color theme="1"/>
        <rFont val="Calibri"/>
        <family val="2"/>
        <scheme val="minor"/>
      </rPr>
      <t>2</t>
    </r>
    <r>
      <rPr>
        <sz val="10"/>
        <color theme="1"/>
        <rFont val="Calibri"/>
        <family val="2"/>
        <scheme val="minor"/>
      </rPr>
      <t xml:space="preserve"> stored in the reservoir</t>
    </r>
  </si>
  <si>
    <t>Refrigeration/fractionation</t>
  </si>
  <si>
    <t>Electricity production (MWh)</t>
  </si>
  <si>
    <r>
      <t>kg CO</t>
    </r>
    <r>
      <rPr>
        <vertAlign val="subscript"/>
        <sz val="10"/>
        <color theme="1"/>
        <rFont val="Calibri"/>
        <family val="2"/>
        <scheme val="minor"/>
      </rPr>
      <t>2</t>
    </r>
    <r>
      <rPr>
        <sz val="10"/>
        <color theme="1"/>
        <rFont val="Calibri"/>
        <family val="2"/>
        <scheme val="minor"/>
      </rPr>
      <t>e/MWh</t>
    </r>
  </si>
  <si>
    <t>Electricity production</t>
  </si>
  <si>
    <r>
      <t>CO</t>
    </r>
    <r>
      <rPr>
        <b/>
        <vertAlign val="subscript"/>
        <sz val="12"/>
        <color theme="0"/>
        <rFont val="Calibri"/>
        <family val="2"/>
        <scheme val="minor"/>
      </rPr>
      <t>2</t>
    </r>
    <r>
      <rPr>
        <b/>
        <sz val="12"/>
        <color theme="0"/>
        <rFont val="Calibri"/>
        <family val="2"/>
        <scheme val="minor"/>
      </rPr>
      <t>-Enhanced Oil Recovery Life-Cycle CO</t>
    </r>
    <r>
      <rPr>
        <b/>
        <vertAlign val="subscript"/>
        <sz val="12"/>
        <color theme="0"/>
        <rFont val="Calibri"/>
        <family val="2"/>
        <scheme val="minor"/>
      </rPr>
      <t>2</t>
    </r>
    <r>
      <rPr>
        <b/>
        <sz val="12"/>
        <color theme="0"/>
        <rFont val="Calibri"/>
        <family val="2"/>
        <scheme val="minor"/>
      </rPr>
      <t xml:space="preserve"> Emissions Balance</t>
    </r>
  </si>
  <si>
    <r>
      <t>Coal plant emissions (with CO</t>
    </r>
    <r>
      <rPr>
        <vertAlign val="subscript"/>
        <sz val="10"/>
        <color theme="1"/>
        <rFont val="Calibri"/>
        <family val="2"/>
        <scheme val="minor"/>
      </rPr>
      <t>2</t>
    </r>
    <r>
      <rPr>
        <sz val="10"/>
        <color theme="1"/>
        <rFont val="Calibri"/>
        <family val="2"/>
        <scheme val="minor"/>
      </rPr>
      <t xml:space="preserve"> capture)</t>
    </r>
  </si>
  <si>
    <r>
      <t>CO</t>
    </r>
    <r>
      <rPr>
        <vertAlign val="subscript"/>
        <sz val="10"/>
        <color theme="1"/>
        <rFont val="Calibri"/>
        <family val="2"/>
        <scheme val="minor"/>
      </rPr>
      <t>2</t>
    </r>
    <r>
      <rPr>
        <sz val="10"/>
        <color theme="1"/>
        <rFont val="Calibri"/>
        <family val="2"/>
        <scheme val="minor"/>
      </rPr>
      <t xml:space="preserve"> emissions avoided via displacement of electricity</t>
    </r>
  </si>
  <si>
    <r>
      <t>CO</t>
    </r>
    <r>
      <rPr>
        <vertAlign val="subscript"/>
        <sz val="10"/>
        <color theme="1"/>
        <rFont val="Calibri"/>
        <family val="2"/>
        <scheme val="minor"/>
      </rPr>
      <t>2</t>
    </r>
    <r>
      <rPr>
        <sz val="10"/>
        <color theme="1"/>
        <rFont val="Calibri"/>
        <family val="2"/>
        <scheme val="minor"/>
      </rPr>
      <t xml:space="preserve"> emissions from U.S. 2010 grid electricity</t>
    </r>
  </si>
  <si>
    <t>Derived from the sum of the individual NGL productions</t>
  </si>
  <si>
    <t>Gasoline</t>
  </si>
  <si>
    <t>Diesel</t>
  </si>
  <si>
    <t>Notes:</t>
  </si>
  <si>
    <t>EOR life-cycle model (Ryan-Holmes)</t>
  </si>
  <si>
    <t>Fuel consumed (bbl)</t>
  </si>
  <si>
    <t>Life-Cycle Stage</t>
  </si>
  <si>
    <t>Using DOE-NETL (2008) Definitions</t>
  </si>
  <si>
    <t>a</t>
  </si>
  <si>
    <t>b</t>
  </si>
  <si>
    <t>c</t>
  </si>
  <si>
    <t>d</t>
  </si>
  <si>
    <t>e</t>
  </si>
  <si>
    <t>f</t>
  </si>
  <si>
    <t>g</t>
  </si>
  <si>
    <t>Gasoline (Conventional)</t>
  </si>
  <si>
    <t>Diesel (Conventional)</t>
  </si>
  <si>
    <t>HHV (BTU/lb)</t>
  </si>
  <si>
    <r>
      <t>CO</t>
    </r>
    <r>
      <rPr>
        <vertAlign val="subscript"/>
        <sz val="10"/>
        <rFont val="Calibri"/>
        <family val="2"/>
        <scheme val="minor"/>
      </rPr>
      <t>2</t>
    </r>
    <r>
      <rPr>
        <sz val="10"/>
        <rFont val="Calibri"/>
        <family val="2"/>
        <scheme val="minor"/>
      </rPr>
      <t xml:space="preserve"> emissions avoided from electricity displacement (kg CO</t>
    </r>
    <r>
      <rPr>
        <vertAlign val="subscript"/>
        <sz val="10"/>
        <rFont val="Calibri"/>
        <family val="2"/>
        <scheme val="minor"/>
      </rPr>
      <t>2</t>
    </r>
    <r>
      <rPr>
        <sz val="10"/>
        <rFont val="Calibri"/>
        <family val="2"/>
        <scheme val="minor"/>
      </rPr>
      <t>e/bbl fuel combusted)</t>
    </r>
  </si>
  <si>
    <r>
      <t>CO</t>
    </r>
    <r>
      <rPr>
        <vertAlign val="subscript"/>
        <sz val="10"/>
        <rFont val="Calibri"/>
        <family val="2"/>
        <scheme val="minor"/>
      </rPr>
      <t>2</t>
    </r>
    <r>
      <rPr>
        <sz val="10"/>
        <rFont val="Calibri"/>
        <family val="2"/>
        <scheme val="minor"/>
      </rPr>
      <t xml:space="preserve"> emissions avoided from electricity displacement (kg CO</t>
    </r>
    <r>
      <rPr>
        <vertAlign val="subscript"/>
        <sz val="10"/>
        <rFont val="Calibri"/>
        <family val="2"/>
        <scheme val="minor"/>
      </rPr>
      <t>2</t>
    </r>
    <r>
      <rPr>
        <sz val="10"/>
        <rFont val="Calibri"/>
        <family val="2"/>
        <scheme val="minor"/>
      </rPr>
      <t>e)</t>
    </r>
  </si>
  <si>
    <r>
      <t>CO</t>
    </r>
    <r>
      <rPr>
        <vertAlign val="subscript"/>
        <sz val="10"/>
        <rFont val="Calibri"/>
        <family val="2"/>
        <scheme val="minor"/>
      </rPr>
      <t>2</t>
    </r>
    <r>
      <rPr>
        <sz val="10"/>
        <rFont val="Calibri"/>
        <family val="2"/>
        <scheme val="minor"/>
      </rPr>
      <t xml:space="preserve"> emissions avoided from electricity displacement (g CO</t>
    </r>
    <r>
      <rPr>
        <vertAlign val="subscript"/>
        <sz val="10"/>
        <rFont val="Calibri"/>
        <family val="2"/>
        <scheme val="minor"/>
      </rPr>
      <t>2</t>
    </r>
    <r>
      <rPr>
        <sz val="10"/>
        <rFont val="Calibri"/>
        <family val="2"/>
        <scheme val="minor"/>
      </rPr>
      <t>e/MJ fuel combusted)</t>
    </r>
  </si>
  <si>
    <r>
      <t>1 - Raw material acquisition (kg CO</t>
    </r>
    <r>
      <rPr>
        <vertAlign val="subscript"/>
        <sz val="10"/>
        <color theme="1"/>
        <rFont val="Calibri"/>
        <family val="2"/>
        <scheme val="minor"/>
      </rPr>
      <t>2</t>
    </r>
    <r>
      <rPr>
        <sz val="10"/>
        <color theme="1"/>
        <rFont val="Calibri"/>
        <family val="2"/>
        <scheme val="minor"/>
      </rPr>
      <t>e/bbl fuel combusted)</t>
    </r>
  </si>
  <si>
    <r>
      <t>1 - Raw material acquisition (kg CO</t>
    </r>
    <r>
      <rPr>
        <vertAlign val="subscript"/>
        <sz val="10"/>
        <color theme="1"/>
        <rFont val="Calibri"/>
        <family val="2"/>
        <scheme val="minor"/>
      </rPr>
      <t>2</t>
    </r>
    <r>
      <rPr>
        <sz val="10"/>
        <color theme="1"/>
        <rFont val="Calibri"/>
        <family val="2"/>
        <scheme val="minor"/>
      </rPr>
      <t>e)</t>
    </r>
  </si>
  <si>
    <r>
      <t>1 - Raw material acquisition (g CO</t>
    </r>
    <r>
      <rPr>
        <vertAlign val="subscript"/>
        <sz val="10"/>
        <color theme="1"/>
        <rFont val="Calibri"/>
        <family val="2"/>
        <scheme val="minor"/>
      </rPr>
      <t>2</t>
    </r>
    <r>
      <rPr>
        <sz val="10"/>
        <color theme="1"/>
        <rFont val="Calibri"/>
        <family val="2"/>
        <scheme val="minor"/>
      </rPr>
      <t>e/MJ fuel combusted)</t>
    </r>
  </si>
  <si>
    <r>
      <t>2 - Raw material transport (kg CO</t>
    </r>
    <r>
      <rPr>
        <vertAlign val="subscript"/>
        <sz val="10"/>
        <color theme="1"/>
        <rFont val="Calibri"/>
        <family val="2"/>
        <scheme val="minor"/>
      </rPr>
      <t>2</t>
    </r>
    <r>
      <rPr>
        <sz val="10"/>
        <color theme="1"/>
        <rFont val="Calibri"/>
        <family val="2"/>
        <scheme val="minor"/>
      </rPr>
      <t>e/bbl fuel combusted)</t>
    </r>
  </si>
  <si>
    <r>
      <t>2 - Raw material transport (kg CO</t>
    </r>
    <r>
      <rPr>
        <vertAlign val="subscript"/>
        <sz val="10"/>
        <color theme="1"/>
        <rFont val="Calibri"/>
        <family val="2"/>
        <scheme val="minor"/>
      </rPr>
      <t>2</t>
    </r>
    <r>
      <rPr>
        <sz val="10"/>
        <color theme="1"/>
        <rFont val="Calibri"/>
        <family val="2"/>
        <scheme val="minor"/>
      </rPr>
      <t>e)</t>
    </r>
  </si>
  <si>
    <r>
      <t>2 - Raw material transport (g CO</t>
    </r>
    <r>
      <rPr>
        <vertAlign val="subscript"/>
        <sz val="10"/>
        <color theme="1"/>
        <rFont val="Calibri"/>
        <family val="2"/>
        <scheme val="minor"/>
      </rPr>
      <t>2</t>
    </r>
    <r>
      <rPr>
        <sz val="10"/>
        <color theme="1"/>
        <rFont val="Calibri"/>
        <family val="2"/>
        <scheme val="minor"/>
      </rPr>
      <t>e/MJ fuel combusted)</t>
    </r>
  </si>
  <si>
    <r>
      <t>3 - Liquid fuels production (kg CO</t>
    </r>
    <r>
      <rPr>
        <vertAlign val="subscript"/>
        <sz val="10"/>
        <color theme="1"/>
        <rFont val="Calibri"/>
        <family val="2"/>
        <scheme val="minor"/>
      </rPr>
      <t>2</t>
    </r>
    <r>
      <rPr>
        <sz val="10"/>
        <color theme="1"/>
        <rFont val="Calibri"/>
        <family val="2"/>
        <scheme val="minor"/>
      </rPr>
      <t>e/bbl fuel combusted)</t>
    </r>
  </si>
  <si>
    <r>
      <t>3 - Liquid fuels production (kg CO</t>
    </r>
    <r>
      <rPr>
        <vertAlign val="subscript"/>
        <sz val="10"/>
        <color theme="1"/>
        <rFont val="Calibri"/>
        <family val="2"/>
        <scheme val="minor"/>
      </rPr>
      <t>2</t>
    </r>
    <r>
      <rPr>
        <sz val="10"/>
        <color theme="1"/>
        <rFont val="Calibri"/>
        <family val="2"/>
        <scheme val="minor"/>
      </rPr>
      <t>e)</t>
    </r>
  </si>
  <si>
    <r>
      <t>3 - Liquid fuels production (g CO</t>
    </r>
    <r>
      <rPr>
        <vertAlign val="subscript"/>
        <sz val="10"/>
        <color theme="1"/>
        <rFont val="Calibri"/>
        <family val="2"/>
        <scheme val="minor"/>
      </rPr>
      <t>2</t>
    </r>
    <r>
      <rPr>
        <sz val="10"/>
        <color theme="1"/>
        <rFont val="Calibri"/>
        <family val="2"/>
        <scheme val="minor"/>
      </rPr>
      <t>e/MJ fuel combusted)</t>
    </r>
  </si>
  <si>
    <r>
      <t>4 - Product transport (kg CO</t>
    </r>
    <r>
      <rPr>
        <vertAlign val="subscript"/>
        <sz val="10"/>
        <color theme="1"/>
        <rFont val="Calibri"/>
        <family val="2"/>
        <scheme val="minor"/>
      </rPr>
      <t>2</t>
    </r>
    <r>
      <rPr>
        <sz val="10"/>
        <color theme="1"/>
        <rFont val="Calibri"/>
        <family val="2"/>
        <scheme val="minor"/>
      </rPr>
      <t>e/bbl fuel combusted)</t>
    </r>
  </si>
  <si>
    <r>
      <t>4 - Product transport (kg CO</t>
    </r>
    <r>
      <rPr>
        <vertAlign val="subscript"/>
        <sz val="10"/>
        <color theme="1"/>
        <rFont val="Calibri"/>
        <family val="2"/>
        <scheme val="minor"/>
      </rPr>
      <t>2</t>
    </r>
    <r>
      <rPr>
        <sz val="10"/>
        <color theme="1"/>
        <rFont val="Calibri"/>
        <family val="2"/>
        <scheme val="minor"/>
      </rPr>
      <t>e)</t>
    </r>
  </si>
  <si>
    <r>
      <t>4 - Product transport (g CO</t>
    </r>
    <r>
      <rPr>
        <vertAlign val="subscript"/>
        <sz val="10"/>
        <color theme="1"/>
        <rFont val="Calibri"/>
        <family val="2"/>
        <scheme val="minor"/>
      </rPr>
      <t>2</t>
    </r>
    <r>
      <rPr>
        <sz val="10"/>
        <color theme="1"/>
        <rFont val="Calibri"/>
        <family val="2"/>
        <scheme val="minor"/>
      </rPr>
      <t>e/MJ fuel combusted)</t>
    </r>
  </si>
  <si>
    <r>
      <t>5 - Vehicle operation (kg CO</t>
    </r>
    <r>
      <rPr>
        <vertAlign val="subscript"/>
        <sz val="10"/>
        <color theme="1"/>
        <rFont val="Calibri"/>
        <family val="2"/>
        <scheme val="minor"/>
      </rPr>
      <t>2</t>
    </r>
    <r>
      <rPr>
        <sz val="10"/>
        <color theme="1"/>
        <rFont val="Calibri"/>
        <family val="2"/>
        <scheme val="minor"/>
      </rPr>
      <t>e/bbl fuel combusted)</t>
    </r>
  </si>
  <si>
    <r>
      <t>5 - Vehicle operation (kg CO</t>
    </r>
    <r>
      <rPr>
        <vertAlign val="subscript"/>
        <sz val="10"/>
        <color theme="1"/>
        <rFont val="Calibri"/>
        <family val="2"/>
        <scheme val="minor"/>
      </rPr>
      <t>2</t>
    </r>
    <r>
      <rPr>
        <sz val="10"/>
        <color theme="1"/>
        <rFont val="Calibri"/>
        <family val="2"/>
        <scheme val="minor"/>
      </rPr>
      <t>e)</t>
    </r>
  </si>
  <si>
    <r>
      <t>5 - Vehicle operation (g CO</t>
    </r>
    <r>
      <rPr>
        <vertAlign val="subscript"/>
        <sz val="10"/>
        <color theme="1"/>
        <rFont val="Calibri"/>
        <family val="2"/>
        <scheme val="minor"/>
      </rPr>
      <t>2</t>
    </r>
    <r>
      <rPr>
        <sz val="10"/>
        <color theme="1"/>
        <rFont val="Calibri"/>
        <family val="2"/>
        <scheme val="minor"/>
      </rPr>
      <t>e/MJ fuel combusted)</t>
    </r>
  </si>
  <si>
    <r>
      <t>NET SUM (kg CO</t>
    </r>
    <r>
      <rPr>
        <vertAlign val="subscript"/>
        <sz val="10"/>
        <color theme="1"/>
        <rFont val="Calibri"/>
        <family val="2"/>
        <scheme val="minor"/>
      </rPr>
      <t>2</t>
    </r>
    <r>
      <rPr>
        <sz val="10"/>
        <color theme="1"/>
        <rFont val="Calibri"/>
        <family val="2"/>
        <scheme val="minor"/>
      </rPr>
      <t>e):</t>
    </r>
  </si>
  <si>
    <r>
      <t>NET SUM (kg CO</t>
    </r>
    <r>
      <rPr>
        <vertAlign val="subscript"/>
        <sz val="10"/>
        <color theme="1"/>
        <rFont val="Calibri"/>
        <family val="2"/>
        <scheme val="minor"/>
      </rPr>
      <t>2</t>
    </r>
    <r>
      <rPr>
        <sz val="10"/>
        <color theme="1"/>
        <rFont val="Calibri"/>
        <family val="2"/>
        <scheme val="minor"/>
      </rPr>
      <t>e/bbl fuel combusted):</t>
    </r>
  </si>
  <si>
    <r>
      <t>NET SUM (g CO</t>
    </r>
    <r>
      <rPr>
        <vertAlign val="subscript"/>
        <sz val="10"/>
        <color theme="1"/>
        <rFont val="Calibri"/>
        <family val="2"/>
        <scheme val="minor"/>
      </rPr>
      <t>2</t>
    </r>
    <r>
      <rPr>
        <sz val="10"/>
        <color theme="1"/>
        <rFont val="Calibri"/>
        <family val="2"/>
        <scheme val="minor"/>
      </rPr>
      <t>e/MJ fuel combusted):</t>
    </r>
  </si>
  <si>
    <r>
      <rPr>
        <vertAlign val="superscript"/>
        <sz val="10"/>
        <color theme="1"/>
        <rFont val="Calibri"/>
        <family val="2"/>
        <scheme val="minor"/>
      </rPr>
      <t>g</t>
    </r>
    <r>
      <rPr>
        <sz val="10"/>
        <color theme="1"/>
        <rFont val="Calibri"/>
        <family val="2"/>
        <scheme val="minor"/>
      </rPr>
      <t xml:space="preserve"> Conversion from bbl fuel to MJ fuel combusted assumes 5159 MJ/bbl gasoline and 5813 MJ/bbl diesel (DOE-NETL, 2008).</t>
    </r>
  </si>
  <si>
    <r>
      <t xml:space="preserve">DOE-NETL, 2008. </t>
    </r>
    <r>
      <rPr>
        <i/>
        <sz val="10"/>
        <color theme="1"/>
        <rFont val="Calibri"/>
        <family val="2"/>
        <scheme val="minor"/>
      </rPr>
      <t>Development of Baseline Data and Analysis of Life Cycle Greenhouse Gas Emissions of Petroleum-Based Fuels</t>
    </r>
    <r>
      <rPr>
        <sz val="10"/>
        <color theme="1"/>
        <rFont val="Calibri"/>
        <family val="2"/>
        <scheme val="minor"/>
      </rPr>
      <t>, DOE/NETL-2009/1346, November 26, 2008.</t>
    </r>
  </si>
  <si>
    <t>kg C / kg EOR reinjection gas</t>
  </si>
  <si>
    <r>
      <t>kg CO</t>
    </r>
    <r>
      <rPr>
        <vertAlign val="subscript"/>
        <sz val="9"/>
        <color theme="1"/>
        <rFont val="Calibri"/>
        <family val="2"/>
        <scheme val="minor"/>
      </rPr>
      <t>2</t>
    </r>
    <r>
      <rPr>
        <sz val="9"/>
        <color theme="1"/>
        <rFont val="Calibri"/>
        <family val="2"/>
        <scheme val="minor"/>
      </rPr>
      <t>e / MWh</t>
    </r>
  </si>
  <si>
    <r>
      <t>Derived using Eq. 2 and the purchased CO</t>
    </r>
    <r>
      <rPr>
        <vertAlign val="subscript"/>
        <sz val="9"/>
        <color theme="1"/>
        <rFont val="Calibri"/>
        <family val="2"/>
        <scheme val="minor"/>
      </rPr>
      <t>2</t>
    </r>
    <r>
      <rPr>
        <sz val="9"/>
        <color theme="1"/>
        <rFont val="Calibri"/>
        <family val="2"/>
        <scheme val="minor"/>
      </rPr>
      <t xml:space="preserve"> quantity and CO</t>
    </r>
    <r>
      <rPr>
        <vertAlign val="subscript"/>
        <sz val="9"/>
        <color theme="1"/>
        <rFont val="Calibri"/>
        <family val="2"/>
        <scheme val="minor"/>
      </rPr>
      <t>2</t>
    </r>
    <r>
      <rPr>
        <sz val="9"/>
        <color theme="1"/>
        <rFont val="Calibri"/>
        <family val="2"/>
        <scheme val="minor"/>
      </rPr>
      <t xml:space="preserve"> capture rate of the coal plant</t>
    </r>
  </si>
  <si>
    <r>
      <t>kg CO</t>
    </r>
    <r>
      <rPr>
        <vertAlign val="subscript"/>
        <sz val="9"/>
        <color theme="1"/>
        <rFont val="Calibri"/>
        <family val="2"/>
        <scheme val="minor"/>
      </rPr>
      <t>2</t>
    </r>
    <r>
      <rPr>
        <sz val="9"/>
        <color theme="1"/>
        <rFont val="Calibri"/>
        <family val="2"/>
        <scheme val="minor"/>
      </rPr>
      <t>e</t>
    </r>
  </si>
  <si>
    <r>
      <t>Derived from the adjusted emissions factor and the MWh of electricity required to deliver the purchased CO</t>
    </r>
    <r>
      <rPr>
        <vertAlign val="subscript"/>
        <sz val="9"/>
        <color theme="1"/>
        <rFont val="Calibri"/>
        <family val="2"/>
        <scheme val="minor"/>
      </rPr>
      <t>2</t>
    </r>
    <r>
      <rPr>
        <sz val="9"/>
        <color theme="1"/>
        <rFont val="Calibri"/>
        <family val="2"/>
        <scheme val="minor"/>
      </rPr>
      <t xml:space="preserve"> quantity</t>
    </r>
  </si>
  <si>
    <r>
      <t>kg CO</t>
    </r>
    <r>
      <rPr>
        <vertAlign val="subscript"/>
        <sz val="9"/>
        <color theme="1"/>
        <rFont val="Calibri"/>
        <family val="2"/>
        <scheme val="minor"/>
      </rPr>
      <t>2</t>
    </r>
    <r>
      <rPr>
        <sz val="9"/>
        <color theme="1"/>
        <rFont val="Calibri"/>
        <family val="2"/>
        <scheme val="minor"/>
      </rPr>
      <t>e / bbl</t>
    </r>
  </si>
  <si>
    <r>
      <t>Derived from the CO</t>
    </r>
    <r>
      <rPr>
        <vertAlign val="subscript"/>
        <sz val="9"/>
        <color theme="1"/>
        <rFont val="Calibri"/>
        <family val="2"/>
        <scheme val="minor"/>
      </rPr>
      <t>2</t>
    </r>
    <r>
      <rPr>
        <sz val="9"/>
        <color theme="1"/>
        <rFont val="Calibri"/>
        <family val="2"/>
        <scheme val="minor"/>
      </rPr>
      <t xml:space="preserve"> emissions and the barrels of oil produced</t>
    </r>
  </si>
  <si>
    <r>
      <t>kg CO</t>
    </r>
    <r>
      <rPr>
        <vertAlign val="subscript"/>
        <sz val="9"/>
        <color theme="1"/>
        <rFont val="Calibri"/>
        <family val="2"/>
        <scheme val="minor"/>
      </rPr>
      <t>2</t>
    </r>
    <r>
      <rPr>
        <sz val="9"/>
        <color theme="1"/>
        <rFont val="Calibri"/>
        <family val="2"/>
        <scheme val="minor"/>
      </rPr>
      <t xml:space="preserve"> / MWh</t>
    </r>
  </si>
  <si>
    <r>
      <t>CO</t>
    </r>
    <r>
      <rPr>
        <vertAlign val="subscript"/>
        <sz val="9"/>
        <color theme="1"/>
        <rFont val="Calibri"/>
        <family val="2"/>
        <scheme val="minor"/>
      </rPr>
      <t>2</t>
    </r>
    <r>
      <rPr>
        <sz val="9"/>
        <color theme="1"/>
        <rFont val="Calibri"/>
        <family val="2"/>
        <scheme val="minor"/>
      </rPr>
      <t xml:space="preserve"> capture efficiency</t>
    </r>
  </si>
  <si>
    <r>
      <t>CO</t>
    </r>
    <r>
      <rPr>
        <vertAlign val="subscript"/>
        <sz val="9"/>
        <color theme="1"/>
        <rFont val="Calibri"/>
        <family val="2"/>
        <scheme val="minor"/>
      </rPr>
      <t>2</t>
    </r>
    <r>
      <rPr>
        <sz val="9"/>
        <color theme="1"/>
        <rFont val="Calibri"/>
        <family val="2"/>
        <scheme val="minor"/>
      </rPr>
      <t xml:space="preserve"> captured for transport to CO</t>
    </r>
    <r>
      <rPr>
        <vertAlign val="subscript"/>
        <sz val="9"/>
        <color theme="1"/>
        <rFont val="Calibri"/>
        <family val="2"/>
        <scheme val="minor"/>
      </rPr>
      <t>2</t>
    </r>
    <r>
      <rPr>
        <sz val="9"/>
        <color theme="1"/>
        <rFont val="Calibri"/>
        <family val="2"/>
        <scheme val="minor"/>
      </rPr>
      <t xml:space="preserve"> EOR field</t>
    </r>
  </si>
  <si>
    <r>
      <t>Derived from coal plant emissions (adjusted for net plant efficiency) and the CO</t>
    </r>
    <r>
      <rPr>
        <vertAlign val="subscript"/>
        <sz val="9"/>
        <color theme="1"/>
        <rFont val="Calibri"/>
        <family val="2"/>
        <scheme val="minor"/>
      </rPr>
      <t>2</t>
    </r>
    <r>
      <rPr>
        <sz val="9"/>
        <color theme="1"/>
        <rFont val="Calibri"/>
        <family val="2"/>
        <scheme val="minor"/>
      </rPr>
      <t xml:space="preserve"> capture efficiency</t>
    </r>
  </si>
  <si>
    <r>
      <t>CO</t>
    </r>
    <r>
      <rPr>
        <vertAlign val="subscript"/>
        <sz val="9"/>
        <color theme="1"/>
        <rFont val="Calibri"/>
        <family val="2"/>
        <scheme val="minor"/>
      </rPr>
      <t>2</t>
    </r>
    <r>
      <rPr>
        <sz val="9"/>
        <color theme="1"/>
        <rFont val="Calibri"/>
        <family val="2"/>
        <scheme val="minor"/>
      </rPr>
      <t xml:space="preserve"> emissions rate from the coal plant</t>
    </r>
  </si>
  <si>
    <r>
      <t>Derived from the purchased CO</t>
    </r>
    <r>
      <rPr>
        <vertAlign val="subscript"/>
        <sz val="9"/>
        <color theme="1"/>
        <rFont val="Calibri"/>
        <family val="2"/>
        <scheme val="minor"/>
      </rPr>
      <t>2</t>
    </r>
    <r>
      <rPr>
        <sz val="9"/>
        <color theme="1"/>
        <rFont val="Calibri"/>
        <family val="2"/>
        <scheme val="minor"/>
      </rPr>
      <t xml:space="preserve"> mass and the captured CO</t>
    </r>
    <r>
      <rPr>
        <vertAlign val="subscript"/>
        <sz val="9"/>
        <color theme="1"/>
        <rFont val="Calibri"/>
        <family val="2"/>
        <scheme val="minor"/>
      </rPr>
      <t>2</t>
    </r>
    <r>
      <rPr>
        <sz val="9"/>
        <color theme="1"/>
        <rFont val="Calibri"/>
        <family val="2"/>
        <scheme val="minor"/>
      </rPr>
      <t xml:space="preserve"> rate</t>
    </r>
  </si>
  <si>
    <r>
      <t>CO</t>
    </r>
    <r>
      <rPr>
        <vertAlign val="subscript"/>
        <sz val="9"/>
        <color theme="1"/>
        <rFont val="Calibri"/>
        <family val="2"/>
        <scheme val="minor"/>
      </rPr>
      <t>2</t>
    </r>
    <r>
      <rPr>
        <sz val="9"/>
        <color theme="1"/>
        <rFont val="Calibri"/>
        <family val="2"/>
        <scheme val="minor"/>
      </rPr>
      <t xml:space="preserve"> emissions from the coal plant</t>
    </r>
  </si>
  <si>
    <r>
      <t>kg CO</t>
    </r>
    <r>
      <rPr>
        <vertAlign val="subscript"/>
        <sz val="9"/>
        <color theme="1"/>
        <rFont val="Calibri"/>
        <family val="2"/>
        <scheme val="minor"/>
      </rPr>
      <t>2</t>
    </r>
  </si>
  <si>
    <r>
      <t>Derived from the energy needs of the coal plant and the emitted CO</t>
    </r>
    <r>
      <rPr>
        <vertAlign val="subscript"/>
        <sz val="9"/>
        <color theme="1"/>
        <rFont val="Calibri"/>
        <family val="2"/>
        <scheme val="minor"/>
      </rPr>
      <t>2</t>
    </r>
    <r>
      <rPr>
        <sz val="9"/>
        <color theme="1"/>
        <rFont val="Calibri"/>
        <family val="2"/>
        <scheme val="minor"/>
      </rPr>
      <t xml:space="preserve"> from the coal plant</t>
    </r>
  </si>
  <si>
    <r>
      <t>CO</t>
    </r>
    <r>
      <rPr>
        <vertAlign val="subscript"/>
        <sz val="9"/>
        <color theme="1"/>
        <rFont val="Calibri"/>
        <family val="2"/>
        <scheme val="minor"/>
      </rPr>
      <t>2</t>
    </r>
    <r>
      <rPr>
        <sz val="9"/>
        <color theme="1"/>
        <rFont val="Calibri"/>
        <family val="2"/>
        <scheme val="minor"/>
      </rPr>
      <t xml:space="preserve"> emissions factor from the coal plant</t>
    </r>
  </si>
  <si>
    <r>
      <t>kg CO</t>
    </r>
    <r>
      <rPr>
        <vertAlign val="subscript"/>
        <sz val="9"/>
        <color theme="1"/>
        <rFont val="Calibri"/>
        <family val="2"/>
        <scheme val="minor"/>
      </rPr>
      <t>2</t>
    </r>
    <r>
      <rPr>
        <sz val="9"/>
        <color theme="1"/>
        <rFont val="Calibri"/>
        <family val="2"/>
        <scheme val="minor"/>
      </rPr>
      <t xml:space="preserve"> / bbl</t>
    </r>
  </si>
  <si>
    <r>
      <t>UPSTREAM: PIPELINE TRANSPORT OF CO</t>
    </r>
    <r>
      <rPr>
        <b/>
        <vertAlign val="subscript"/>
        <sz val="9"/>
        <color theme="1"/>
        <rFont val="Calibri"/>
        <family val="2"/>
        <scheme val="minor"/>
      </rPr>
      <t>2</t>
    </r>
    <r>
      <rPr>
        <b/>
        <sz val="9"/>
        <color theme="1"/>
        <rFont val="Calibri"/>
        <family val="2"/>
        <scheme val="minor"/>
      </rPr>
      <t xml:space="preserve"> (ELECTRICITY)</t>
    </r>
  </si>
  <si>
    <r>
      <t>Pipeline transport of CO</t>
    </r>
    <r>
      <rPr>
        <vertAlign val="subscript"/>
        <sz val="9"/>
        <color theme="1"/>
        <rFont val="Calibri"/>
        <family val="2"/>
        <scheme val="minor"/>
      </rPr>
      <t>2</t>
    </r>
  </si>
  <si>
    <r>
      <t>Electricity needed per tonne of CO</t>
    </r>
    <r>
      <rPr>
        <vertAlign val="subscript"/>
        <sz val="9"/>
        <color theme="1"/>
        <rFont val="Calibri"/>
        <family val="2"/>
        <scheme val="minor"/>
      </rPr>
      <t>2</t>
    </r>
    <r>
      <rPr>
        <sz val="9"/>
        <color theme="1"/>
        <rFont val="Calibri"/>
        <family val="2"/>
        <scheme val="minor"/>
      </rPr>
      <t xml:space="preserve"> transported (100 to 1000 km)</t>
    </r>
  </si>
  <si>
    <r>
      <t>Electricity needed per kg of CO</t>
    </r>
    <r>
      <rPr>
        <vertAlign val="subscript"/>
        <sz val="9"/>
        <color theme="1"/>
        <rFont val="Calibri"/>
        <family val="2"/>
        <scheme val="minor"/>
      </rPr>
      <t>2</t>
    </r>
    <r>
      <rPr>
        <sz val="9"/>
        <color theme="1"/>
        <rFont val="Calibri"/>
        <family val="2"/>
        <scheme val="minor"/>
      </rPr>
      <t xml:space="preserve"> transported (100 to 1000 km)</t>
    </r>
  </si>
  <si>
    <r>
      <t>Kilograms of purchased CO</t>
    </r>
    <r>
      <rPr>
        <vertAlign val="subscript"/>
        <sz val="9"/>
        <color theme="1"/>
        <rFont val="Calibri"/>
        <family val="2"/>
        <scheme val="minor"/>
      </rPr>
      <t>2</t>
    </r>
  </si>
  <si>
    <r>
      <t>Derived from incremental oil recovery and net CO</t>
    </r>
    <r>
      <rPr>
        <vertAlign val="subscript"/>
        <sz val="9"/>
        <color theme="1"/>
        <rFont val="Calibri"/>
        <family val="2"/>
        <scheme val="minor"/>
      </rPr>
      <t>2</t>
    </r>
    <r>
      <rPr>
        <sz val="9"/>
        <color theme="1"/>
        <rFont val="Calibri"/>
        <family val="2"/>
        <scheme val="minor"/>
      </rPr>
      <t xml:space="preserve"> utilization</t>
    </r>
  </si>
  <si>
    <r>
      <t>Energy needed to pipeline CO</t>
    </r>
    <r>
      <rPr>
        <vertAlign val="subscript"/>
        <sz val="9"/>
        <color theme="1"/>
        <rFont val="Calibri"/>
        <family val="2"/>
        <scheme val="minor"/>
      </rPr>
      <t>2</t>
    </r>
  </si>
  <si>
    <r>
      <t>Derived from the electricity needed per kg of CO</t>
    </r>
    <r>
      <rPr>
        <vertAlign val="subscript"/>
        <sz val="9"/>
        <color theme="1"/>
        <rFont val="Calibri"/>
        <family val="2"/>
        <scheme val="minor"/>
      </rPr>
      <t>2</t>
    </r>
    <r>
      <rPr>
        <sz val="9"/>
        <color theme="1"/>
        <rFont val="Calibri"/>
        <family val="2"/>
        <scheme val="minor"/>
      </rPr>
      <t xml:space="preserve"> and the kg of CO</t>
    </r>
    <r>
      <rPr>
        <vertAlign val="subscript"/>
        <sz val="9"/>
        <color theme="1"/>
        <rFont val="Calibri"/>
        <family val="2"/>
        <scheme val="minor"/>
      </rPr>
      <t>2</t>
    </r>
  </si>
  <si>
    <r>
      <t>Life-cycle emission factor of the electricity used for pipeline transport of CO</t>
    </r>
    <r>
      <rPr>
        <vertAlign val="subscript"/>
        <sz val="9"/>
        <color theme="1"/>
        <rFont val="Calibri"/>
        <family val="2"/>
        <scheme val="minor"/>
      </rPr>
      <t>2</t>
    </r>
  </si>
  <si>
    <r>
      <t>Derived from the life-cycle emission factor and the electricity needed to pipeline the tonnes of CO</t>
    </r>
    <r>
      <rPr>
        <vertAlign val="subscript"/>
        <sz val="9"/>
        <color theme="1"/>
        <rFont val="Calibri"/>
        <family val="2"/>
        <scheme val="minor"/>
      </rPr>
      <t>2</t>
    </r>
  </si>
  <si>
    <r>
      <t>UPSTREAM: PIPELINE TRANSPORT OF CO</t>
    </r>
    <r>
      <rPr>
        <b/>
        <vertAlign val="subscript"/>
        <sz val="9"/>
        <color theme="1"/>
        <rFont val="Calibri"/>
        <family val="2"/>
        <scheme val="minor"/>
      </rPr>
      <t>2</t>
    </r>
    <r>
      <rPr>
        <b/>
        <sz val="9"/>
        <color theme="1"/>
        <rFont val="Calibri"/>
        <family val="2"/>
        <scheme val="minor"/>
      </rPr>
      <t xml:space="preserve"> (FUGITIVE EMISSIONS AND SERVICES)</t>
    </r>
  </si>
  <si>
    <r>
      <t>Fugitive emissions factor from pipeline transport of CO</t>
    </r>
    <r>
      <rPr>
        <vertAlign val="subscript"/>
        <sz val="9"/>
        <color theme="1"/>
        <rFont val="Calibri"/>
        <family val="2"/>
        <scheme val="minor"/>
      </rPr>
      <t>2</t>
    </r>
    <r>
      <rPr>
        <sz val="9"/>
        <color theme="1"/>
        <rFont val="Calibri"/>
        <family val="2"/>
        <scheme val="minor"/>
      </rPr>
      <t xml:space="preserve"> (leaks)</t>
    </r>
  </si>
  <si>
    <r>
      <t>kg CO</t>
    </r>
    <r>
      <rPr>
        <vertAlign val="subscript"/>
        <sz val="9"/>
        <color theme="1"/>
        <rFont val="Calibri"/>
        <family val="2"/>
        <scheme val="minor"/>
      </rPr>
      <t>2</t>
    </r>
    <r>
      <rPr>
        <sz val="9"/>
        <color theme="1"/>
        <rFont val="Calibri"/>
        <family val="2"/>
        <scheme val="minor"/>
      </rPr>
      <t xml:space="preserve"> / km-yr</t>
    </r>
  </si>
  <si>
    <r>
      <t>kg CO</t>
    </r>
    <r>
      <rPr>
        <vertAlign val="subscript"/>
        <sz val="9"/>
        <color theme="1"/>
        <rFont val="Calibri"/>
        <family val="2"/>
        <scheme val="minor"/>
      </rPr>
      <t>2</t>
    </r>
    <r>
      <rPr>
        <sz val="9"/>
        <color theme="1"/>
        <rFont val="Calibri"/>
        <family val="2"/>
        <scheme val="minor"/>
      </rPr>
      <t xml:space="preserve"> / yr</t>
    </r>
  </si>
  <si>
    <r>
      <t>Derived from the fugitive emissions factor for pipeline transport of CO</t>
    </r>
    <r>
      <rPr>
        <vertAlign val="subscript"/>
        <sz val="9"/>
        <color theme="1"/>
        <rFont val="Calibri"/>
        <family val="2"/>
        <scheme val="minor"/>
      </rPr>
      <t>2</t>
    </r>
    <r>
      <rPr>
        <sz val="9"/>
        <color theme="1"/>
        <rFont val="Calibri"/>
        <family val="2"/>
        <scheme val="minor"/>
      </rPr>
      <t xml:space="preserve"> (leaks) and the km of pipeline</t>
    </r>
  </si>
  <si>
    <r>
      <t>Fugitive emissions factor from pipeline transport of CO</t>
    </r>
    <r>
      <rPr>
        <vertAlign val="subscript"/>
        <sz val="9"/>
        <color theme="1"/>
        <rFont val="Calibri"/>
        <family val="2"/>
        <scheme val="minor"/>
      </rPr>
      <t>2</t>
    </r>
    <r>
      <rPr>
        <sz val="9"/>
        <color theme="1"/>
        <rFont val="Calibri"/>
        <family val="2"/>
        <scheme val="minor"/>
      </rPr>
      <t xml:space="preserve"> (services)</t>
    </r>
  </si>
  <si>
    <r>
      <t>kg CO</t>
    </r>
    <r>
      <rPr>
        <vertAlign val="subscript"/>
        <sz val="9"/>
        <color theme="1"/>
        <rFont val="Calibri"/>
        <family val="2"/>
        <scheme val="minor"/>
      </rPr>
      <t>2</t>
    </r>
    <r>
      <rPr>
        <sz val="9"/>
        <color theme="1"/>
        <rFont val="Calibri"/>
        <family val="2"/>
        <scheme val="minor"/>
      </rPr>
      <t xml:space="preserve"> / service-yr</t>
    </r>
  </si>
  <si>
    <r>
      <t>Derived from the fugitive emissions factor for pipeline transport of CO</t>
    </r>
    <r>
      <rPr>
        <vertAlign val="subscript"/>
        <sz val="9"/>
        <color theme="1"/>
        <rFont val="Calibri"/>
        <family val="2"/>
        <scheme val="minor"/>
      </rPr>
      <t>2</t>
    </r>
    <r>
      <rPr>
        <sz val="9"/>
        <color theme="1"/>
        <rFont val="Calibri"/>
        <family val="2"/>
        <scheme val="minor"/>
      </rPr>
      <t xml:space="preserve"> (services) and the number of services per year</t>
    </r>
  </si>
  <si>
    <r>
      <t>CO</t>
    </r>
    <r>
      <rPr>
        <vertAlign val="subscript"/>
        <sz val="9"/>
        <color theme="1"/>
        <rFont val="Calibri"/>
        <family val="2"/>
        <scheme val="minor"/>
      </rPr>
      <t>2</t>
    </r>
    <r>
      <rPr>
        <sz val="9"/>
        <color theme="1"/>
        <rFont val="Calibri"/>
        <family val="2"/>
        <scheme val="minor"/>
      </rPr>
      <t>-EOR project duration</t>
    </r>
  </si>
  <si>
    <r>
      <t>Fugitive emissions from pipeline transport of CO</t>
    </r>
    <r>
      <rPr>
        <vertAlign val="subscript"/>
        <sz val="9"/>
        <color theme="1"/>
        <rFont val="Calibri"/>
        <family val="2"/>
        <scheme val="minor"/>
      </rPr>
      <t>2</t>
    </r>
  </si>
  <si>
    <r>
      <t>Derived from the fugitive emissions  for pipeline transport of CO</t>
    </r>
    <r>
      <rPr>
        <vertAlign val="subscript"/>
        <sz val="9"/>
        <color theme="1"/>
        <rFont val="Calibri"/>
        <family val="2"/>
        <scheme val="minor"/>
      </rPr>
      <t>2</t>
    </r>
    <r>
      <rPr>
        <sz val="9"/>
        <color theme="1"/>
        <rFont val="Calibri"/>
        <family val="2"/>
        <scheme val="minor"/>
      </rPr>
      <t>, emissions from services, and the project duration in years</t>
    </r>
  </si>
  <si>
    <r>
      <t>Fugitive emissions factor from pipeline transport of CO</t>
    </r>
    <r>
      <rPr>
        <vertAlign val="subscript"/>
        <sz val="9"/>
        <color theme="1"/>
        <rFont val="Calibri"/>
        <family val="2"/>
        <scheme val="minor"/>
      </rPr>
      <t>2</t>
    </r>
  </si>
  <si>
    <r>
      <t>kg CO</t>
    </r>
    <r>
      <rPr>
        <b/>
        <vertAlign val="subscript"/>
        <sz val="9"/>
        <rFont val="Calibri"/>
        <family val="2"/>
        <scheme val="minor"/>
      </rPr>
      <t>2</t>
    </r>
    <r>
      <rPr>
        <b/>
        <sz val="9"/>
        <rFont val="Calibri"/>
        <family val="2"/>
        <scheme val="minor"/>
      </rPr>
      <t>e / bbl</t>
    </r>
  </si>
  <si>
    <r>
      <t>GATE-TO-GATE: OIL, CO</t>
    </r>
    <r>
      <rPr>
        <b/>
        <vertAlign val="subscript"/>
        <sz val="9"/>
        <color theme="1"/>
        <rFont val="Calibri"/>
        <family val="2"/>
        <scheme val="minor"/>
      </rPr>
      <t>2</t>
    </r>
    <r>
      <rPr>
        <b/>
        <sz val="9"/>
        <color theme="1"/>
        <rFont val="Calibri"/>
        <family val="2"/>
        <scheme val="minor"/>
      </rPr>
      <t>, BRINE, AND HYDROCARBON GAS BALANCE CALCULATIONS</t>
    </r>
  </si>
  <si>
    <r>
      <t>Oil, CO</t>
    </r>
    <r>
      <rPr>
        <vertAlign val="subscript"/>
        <sz val="9"/>
        <color theme="1"/>
        <rFont val="Calibri"/>
        <family val="2"/>
        <scheme val="minor"/>
      </rPr>
      <t>2</t>
    </r>
    <r>
      <rPr>
        <sz val="9"/>
        <color theme="1"/>
        <rFont val="Calibri"/>
        <family val="2"/>
        <scheme val="minor"/>
      </rPr>
      <t>, brine, and gas production</t>
    </r>
  </si>
  <si>
    <r>
      <t>Net CO</t>
    </r>
    <r>
      <rPr>
        <vertAlign val="subscript"/>
        <sz val="9"/>
        <color theme="1"/>
        <rFont val="Calibri"/>
        <family val="2"/>
        <scheme val="minor"/>
      </rPr>
      <t>2</t>
    </r>
    <r>
      <rPr>
        <sz val="9"/>
        <color theme="1"/>
        <rFont val="Calibri"/>
        <family val="2"/>
        <scheme val="minor"/>
      </rPr>
      <t xml:space="preserve"> utilization rate</t>
    </r>
  </si>
  <si>
    <r>
      <t>Mscf CO</t>
    </r>
    <r>
      <rPr>
        <vertAlign val="subscript"/>
        <sz val="9"/>
        <color theme="1"/>
        <rFont val="Calibri"/>
        <family val="2"/>
        <scheme val="minor"/>
      </rPr>
      <t>2</t>
    </r>
    <r>
      <rPr>
        <sz val="9"/>
        <color theme="1"/>
        <rFont val="Calibri"/>
        <family val="2"/>
        <scheme val="minor"/>
      </rPr>
      <t xml:space="preserve"> / bbl</t>
    </r>
  </si>
  <si>
    <r>
      <t>bbl / tonne CO</t>
    </r>
    <r>
      <rPr>
        <vertAlign val="subscript"/>
        <sz val="9"/>
        <color theme="1"/>
        <rFont val="Calibri"/>
        <family val="2"/>
        <scheme val="minor"/>
      </rPr>
      <t>2</t>
    </r>
  </si>
  <si>
    <r>
      <t>Reciprocal of the net CO</t>
    </r>
    <r>
      <rPr>
        <vertAlign val="subscript"/>
        <sz val="9"/>
        <color theme="1"/>
        <rFont val="Calibri"/>
        <family val="2"/>
        <scheme val="minor"/>
      </rPr>
      <t>2</t>
    </r>
    <r>
      <rPr>
        <sz val="9"/>
        <color theme="1"/>
        <rFont val="Calibri"/>
        <family val="2"/>
        <scheme val="minor"/>
      </rPr>
      <t xml:space="preserve"> utilization with unit conversion from kg to tonne</t>
    </r>
  </si>
  <si>
    <r>
      <t>Purchased CO</t>
    </r>
    <r>
      <rPr>
        <vertAlign val="subscript"/>
        <sz val="9"/>
        <color theme="1"/>
        <rFont val="Calibri"/>
        <family val="2"/>
        <scheme val="minor"/>
      </rPr>
      <t>2</t>
    </r>
    <r>
      <rPr>
        <sz val="9"/>
        <color theme="1"/>
        <rFont val="Calibri"/>
        <family val="2"/>
        <scheme val="minor"/>
      </rPr>
      <t xml:space="preserve"> requirement</t>
    </r>
  </si>
  <si>
    <r>
      <t>Derived from incremental oil recovery and net CO</t>
    </r>
    <r>
      <rPr>
        <vertAlign val="subscript"/>
        <sz val="9"/>
        <color theme="1"/>
        <rFont val="Calibri"/>
        <family val="2"/>
        <scheme val="minor"/>
      </rPr>
      <t>2</t>
    </r>
    <r>
      <rPr>
        <sz val="9"/>
        <color theme="1"/>
        <rFont val="Calibri"/>
        <family val="2"/>
        <scheme val="minor"/>
      </rPr>
      <t xml:space="preserve"> utilization. Inflated by the assumed fugitive loss of purchased CO</t>
    </r>
    <r>
      <rPr>
        <vertAlign val="subscript"/>
        <sz val="9"/>
        <color theme="1"/>
        <rFont val="Calibri"/>
        <family val="2"/>
        <scheme val="minor"/>
      </rPr>
      <t>2</t>
    </r>
    <r>
      <rPr>
        <sz val="9"/>
        <color theme="1"/>
        <rFont val="Calibri"/>
        <family val="2"/>
        <scheme val="minor"/>
      </rPr>
      <t>.</t>
    </r>
  </si>
  <si>
    <r>
      <t>CO</t>
    </r>
    <r>
      <rPr>
        <vertAlign val="subscript"/>
        <sz val="9"/>
        <color theme="1"/>
        <rFont val="Calibri"/>
        <family val="2"/>
        <scheme val="minor"/>
      </rPr>
      <t>2</t>
    </r>
    <r>
      <rPr>
        <sz val="9"/>
        <color theme="1"/>
        <rFont val="Calibri"/>
        <family val="2"/>
        <scheme val="minor"/>
      </rPr>
      <t xml:space="preserve"> recycle rate</t>
    </r>
  </si>
  <si>
    <r>
      <t>Fugitive loss rate of purchased CO</t>
    </r>
    <r>
      <rPr>
        <vertAlign val="subscript"/>
        <sz val="9"/>
        <color theme="1"/>
        <rFont val="Calibri"/>
        <family val="2"/>
        <scheme val="minor"/>
      </rPr>
      <t>2</t>
    </r>
  </si>
  <si>
    <r>
      <t>Fugitive loss of purchased CO</t>
    </r>
    <r>
      <rPr>
        <vertAlign val="subscript"/>
        <sz val="9"/>
        <color theme="1"/>
        <rFont val="Calibri"/>
        <family val="2"/>
        <scheme val="minor"/>
      </rPr>
      <t>2</t>
    </r>
  </si>
  <si>
    <r>
      <t>Derived from the fugitive loss rate of purchased CO</t>
    </r>
    <r>
      <rPr>
        <vertAlign val="subscript"/>
        <sz val="9"/>
        <color theme="1"/>
        <rFont val="Calibri"/>
        <family val="2"/>
        <scheme val="minor"/>
      </rPr>
      <t>2</t>
    </r>
    <r>
      <rPr>
        <sz val="9"/>
        <color theme="1"/>
        <rFont val="Calibri"/>
        <family val="2"/>
        <scheme val="minor"/>
      </rPr>
      <t xml:space="preserve"> and the purchased CO</t>
    </r>
    <r>
      <rPr>
        <vertAlign val="subscript"/>
        <sz val="9"/>
        <color theme="1"/>
        <rFont val="Calibri"/>
        <family val="2"/>
        <scheme val="minor"/>
      </rPr>
      <t>2</t>
    </r>
    <r>
      <rPr>
        <sz val="9"/>
        <color theme="1"/>
        <rFont val="Calibri"/>
        <family val="2"/>
        <scheme val="minor"/>
      </rPr>
      <t xml:space="preserve"> requirement</t>
    </r>
  </si>
  <si>
    <r>
      <t>Derived from the fugitive loss of purchased CO</t>
    </r>
    <r>
      <rPr>
        <vertAlign val="subscript"/>
        <sz val="9"/>
        <color theme="1"/>
        <rFont val="Calibri"/>
        <family val="2"/>
        <scheme val="minor"/>
      </rPr>
      <t>2</t>
    </r>
    <r>
      <rPr>
        <sz val="9"/>
        <color theme="1"/>
        <rFont val="Calibri"/>
        <family val="2"/>
        <scheme val="minor"/>
      </rPr>
      <t xml:space="preserve"> and the barrels of crude oil produced</t>
    </r>
  </si>
  <si>
    <r>
      <t>CO</t>
    </r>
    <r>
      <rPr>
        <vertAlign val="subscript"/>
        <sz val="9"/>
        <color theme="1"/>
        <rFont val="Calibri"/>
        <family val="2"/>
        <scheme val="minor"/>
      </rPr>
      <t>2</t>
    </r>
    <r>
      <rPr>
        <sz val="9"/>
        <color theme="1"/>
        <rFont val="Calibri"/>
        <family val="2"/>
        <scheme val="minor"/>
      </rPr>
      <t xml:space="preserve"> produced (recycled)</t>
    </r>
  </si>
  <si>
    <r>
      <t>Derived from the CO</t>
    </r>
    <r>
      <rPr>
        <vertAlign val="subscript"/>
        <sz val="9"/>
        <color theme="1"/>
        <rFont val="Calibri"/>
        <family val="2"/>
        <scheme val="minor"/>
      </rPr>
      <t>2</t>
    </r>
    <r>
      <rPr>
        <sz val="9"/>
        <color theme="1"/>
        <rFont val="Calibri"/>
        <family val="2"/>
        <scheme val="minor"/>
      </rPr>
      <t xml:space="preserve"> recycle rate and the barrels of oil produced</t>
    </r>
  </si>
  <si>
    <r>
      <t>tonnes CO</t>
    </r>
    <r>
      <rPr>
        <vertAlign val="subscript"/>
        <sz val="9"/>
        <color theme="1"/>
        <rFont val="Calibri"/>
        <family val="2"/>
        <scheme val="minor"/>
      </rPr>
      <t>2</t>
    </r>
    <r>
      <rPr>
        <sz val="9"/>
        <color theme="1"/>
        <rFont val="Calibri"/>
        <family val="2"/>
        <scheme val="minor"/>
      </rPr>
      <t>/day</t>
    </r>
  </si>
  <si>
    <r>
      <t>CO</t>
    </r>
    <r>
      <rPr>
        <vertAlign val="subscript"/>
        <sz val="9"/>
        <color theme="1"/>
        <rFont val="Calibri"/>
        <family val="2"/>
        <scheme val="minor"/>
      </rPr>
      <t>2</t>
    </r>
    <r>
      <rPr>
        <sz val="9"/>
        <color theme="1"/>
        <rFont val="Calibri"/>
        <family val="2"/>
        <scheme val="minor"/>
      </rPr>
      <t xml:space="preserve"> injected</t>
    </r>
  </si>
  <si>
    <r>
      <t>Derived from the CO</t>
    </r>
    <r>
      <rPr>
        <vertAlign val="subscript"/>
        <sz val="9"/>
        <color theme="1"/>
        <rFont val="Calibri"/>
        <family val="2"/>
        <scheme val="minor"/>
      </rPr>
      <t>2</t>
    </r>
    <r>
      <rPr>
        <sz val="9"/>
        <color theme="1"/>
        <rFont val="Calibri"/>
        <family val="2"/>
        <scheme val="minor"/>
      </rPr>
      <t xml:space="preserve"> produced, purchased CO</t>
    </r>
    <r>
      <rPr>
        <vertAlign val="subscript"/>
        <sz val="9"/>
        <color theme="1"/>
        <rFont val="Calibri"/>
        <family val="2"/>
        <scheme val="minor"/>
      </rPr>
      <t>2</t>
    </r>
    <r>
      <rPr>
        <sz val="9"/>
        <color theme="1"/>
        <rFont val="Calibri"/>
        <family val="2"/>
        <scheme val="minor"/>
      </rPr>
      <t xml:space="preserve"> requirement, and fugitive losses</t>
    </r>
  </si>
  <si>
    <r>
      <t>CO</t>
    </r>
    <r>
      <rPr>
        <vertAlign val="subscript"/>
        <sz val="9"/>
        <color theme="1"/>
        <rFont val="Calibri"/>
        <family val="2"/>
        <scheme val="minor"/>
      </rPr>
      <t>2</t>
    </r>
    <r>
      <rPr>
        <sz val="9"/>
        <color theme="1"/>
        <rFont val="Calibri"/>
        <family val="2"/>
        <scheme val="minor"/>
      </rPr>
      <t xml:space="preserve"> storage</t>
    </r>
  </si>
  <si>
    <r>
      <t>Derived from CO</t>
    </r>
    <r>
      <rPr>
        <vertAlign val="subscript"/>
        <sz val="9"/>
        <color theme="1"/>
        <rFont val="Calibri"/>
        <family val="2"/>
        <scheme val="minor"/>
      </rPr>
      <t>2</t>
    </r>
    <r>
      <rPr>
        <sz val="9"/>
        <color theme="1"/>
        <rFont val="Calibri"/>
        <family val="2"/>
        <scheme val="minor"/>
      </rPr>
      <t xml:space="preserve"> injected, CO</t>
    </r>
    <r>
      <rPr>
        <vertAlign val="subscript"/>
        <sz val="9"/>
        <color theme="1"/>
        <rFont val="Calibri"/>
        <family val="2"/>
        <scheme val="minor"/>
      </rPr>
      <t>2</t>
    </r>
    <r>
      <rPr>
        <sz val="9"/>
        <color theme="1"/>
        <rFont val="Calibri"/>
        <family val="2"/>
        <scheme val="minor"/>
      </rPr>
      <t xml:space="preserve"> produced, and fugitive losses of purchased CO</t>
    </r>
    <r>
      <rPr>
        <vertAlign val="subscript"/>
        <sz val="9"/>
        <color theme="1"/>
        <rFont val="Calibri"/>
        <family val="2"/>
        <scheme val="minor"/>
      </rPr>
      <t>2</t>
    </r>
  </si>
  <si>
    <r>
      <t>CO</t>
    </r>
    <r>
      <rPr>
        <vertAlign val="subscript"/>
        <sz val="9"/>
        <color theme="1"/>
        <rFont val="Calibri"/>
        <family val="2"/>
        <scheme val="minor"/>
      </rPr>
      <t>2</t>
    </r>
    <r>
      <rPr>
        <sz val="9"/>
        <color theme="1"/>
        <rFont val="Calibri"/>
        <family val="2"/>
        <scheme val="minor"/>
      </rPr>
      <t xml:space="preserve"> stored</t>
    </r>
  </si>
  <si>
    <r>
      <t>Derived from the purchased CO</t>
    </r>
    <r>
      <rPr>
        <vertAlign val="subscript"/>
        <sz val="9"/>
        <color theme="1"/>
        <rFont val="Calibri"/>
        <family val="2"/>
        <scheme val="minor"/>
      </rPr>
      <t>2</t>
    </r>
    <r>
      <rPr>
        <sz val="9"/>
        <color theme="1"/>
        <rFont val="Calibri"/>
        <family val="2"/>
        <scheme val="minor"/>
      </rPr>
      <t xml:space="preserve"> requirement and fugitive losses</t>
    </r>
  </si>
  <si>
    <r>
      <t>CO</t>
    </r>
    <r>
      <rPr>
        <vertAlign val="subscript"/>
        <sz val="9"/>
        <color theme="1"/>
        <rFont val="Calibri"/>
        <family val="2"/>
        <scheme val="minor"/>
      </rPr>
      <t>2</t>
    </r>
    <r>
      <rPr>
        <sz val="9"/>
        <color theme="1"/>
        <rFont val="Calibri"/>
        <family val="2"/>
        <scheme val="minor"/>
      </rPr>
      <t xml:space="preserve"> stored factor</t>
    </r>
  </si>
  <si>
    <r>
      <t>Derived from the CO</t>
    </r>
    <r>
      <rPr>
        <vertAlign val="subscript"/>
        <sz val="9"/>
        <color theme="1"/>
        <rFont val="Calibri"/>
        <family val="2"/>
        <scheme val="minor"/>
      </rPr>
      <t>2</t>
    </r>
    <r>
      <rPr>
        <sz val="9"/>
        <color theme="1"/>
        <rFont val="Calibri"/>
        <family val="2"/>
        <scheme val="minor"/>
      </rPr>
      <t xml:space="preserve"> stored and barrels of crude oil produced</t>
    </r>
  </si>
  <si>
    <r>
      <t>CO</t>
    </r>
    <r>
      <rPr>
        <vertAlign val="subscript"/>
        <sz val="9"/>
        <color theme="1"/>
        <rFont val="Calibri"/>
        <family val="2"/>
        <scheme val="minor"/>
      </rPr>
      <t>2</t>
    </r>
    <r>
      <rPr>
        <sz val="9"/>
        <color theme="1"/>
        <rFont val="Calibri"/>
        <family val="2"/>
        <scheme val="minor"/>
      </rPr>
      <t xml:space="preserve"> leakage rate from storage over 100-year time period</t>
    </r>
  </si>
  <si>
    <r>
      <t>% CO</t>
    </r>
    <r>
      <rPr>
        <vertAlign val="subscript"/>
        <sz val="9"/>
        <color theme="1"/>
        <rFont val="Calibri"/>
        <family val="2"/>
        <scheme val="minor"/>
      </rPr>
      <t>2</t>
    </r>
    <r>
      <rPr>
        <sz val="9"/>
        <color theme="1"/>
        <rFont val="Calibri"/>
        <family val="2"/>
        <scheme val="minor"/>
      </rPr>
      <t xml:space="preserve"> stored</t>
    </r>
  </si>
  <si>
    <r>
      <t>CO</t>
    </r>
    <r>
      <rPr>
        <vertAlign val="subscript"/>
        <sz val="9"/>
        <color theme="1"/>
        <rFont val="Calibri"/>
        <family val="2"/>
        <scheme val="minor"/>
      </rPr>
      <t>2</t>
    </r>
    <r>
      <rPr>
        <sz val="9"/>
        <color theme="1"/>
        <rFont val="Calibri"/>
        <family val="2"/>
        <scheme val="minor"/>
      </rPr>
      <t xml:space="preserve"> leakage from storage over time period</t>
    </r>
  </si>
  <si>
    <r>
      <t>Derived from the CO</t>
    </r>
    <r>
      <rPr>
        <vertAlign val="subscript"/>
        <sz val="9"/>
        <color theme="1"/>
        <rFont val="Calibri"/>
        <family val="2"/>
        <scheme val="minor"/>
      </rPr>
      <t>2</t>
    </r>
    <r>
      <rPr>
        <sz val="9"/>
        <color theme="1"/>
        <rFont val="Calibri"/>
        <family val="2"/>
        <scheme val="minor"/>
      </rPr>
      <t xml:space="preserve"> stored and the CO</t>
    </r>
    <r>
      <rPr>
        <vertAlign val="subscript"/>
        <sz val="9"/>
        <color theme="1"/>
        <rFont val="Calibri"/>
        <family val="2"/>
        <scheme val="minor"/>
      </rPr>
      <t>2</t>
    </r>
    <r>
      <rPr>
        <sz val="9"/>
        <color theme="1"/>
        <rFont val="Calibri"/>
        <family val="2"/>
        <scheme val="minor"/>
      </rPr>
      <t xml:space="preserve"> leakage rate from storage</t>
    </r>
  </si>
  <si>
    <r>
      <t>CO</t>
    </r>
    <r>
      <rPr>
        <vertAlign val="subscript"/>
        <sz val="9"/>
        <color theme="1"/>
        <rFont val="Calibri"/>
        <family val="2"/>
        <scheme val="minor"/>
      </rPr>
      <t>2</t>
    </r>
    <r>
      <rPr>
        <sz val="9"/>
        <color theme="1"/>
        <rFont val="Calibri"/>
        <family val="2"/>
        <scheme val="minor"/>
      </rPr>
      <t xml:space="preserve"> leakage from storage emissions factor</t>
    </r>
  </si>
  <si>
    <r>
      <t>Derived from the CO</t>
    </r>
    <r>
      <rPr>
        <vertAlign val="subscript"/>
        <sz val="9"/>
        <color theme="1"/>
        <rFont val="Calibri"/>
        <family val="2"/>
        <scheme val="minor"/>
      </rPr>
      <t>2</t>
    </r>
    <r>
      <rPr>
        <sz val="9"/>
        <color theme="1"/>
        <rFont val="Calibri"/>
        <family val="2"/>
        <scheme val="minor"/>
      </rPr>
      <t xml:space="preserve"> stored, CO</t>
    </r>
    <r>
      <rPr>
        <vertAlign val="subscript"/>
        <sz val="9"/>
        <color theme="1"/>
        <rFont val="Calibri"/>
        <family val="2"/>
        <scheme val="minor"/>
      </rPr>
      <t>2</t>
    </r>
    <r>
      <rPr>
        <sz val="9"/>
        <color theme="1"/>
        <rFont val="Calibri"/>
        <family val="2"/>
        <scheme val="minor"/>
      </rPr>
      <t xml:space="preserve"> leakage rate from storage, and barrels of oil produced</t>
    </r>
  </si>
  <si>
    <r>
      <t>CO</t>
    </r>
    <r>
      <rPr>
        <vertAlign val="subscript"/>
        <sz val="9"/>
        <color theme="1"/>
        <rFont val="Calibri"/>
        <family val="2"/>
        <scheme val="minor"/>
      </rPr>
      <t>2</t>
    </r>
    <r>
      <rPr>
        <sz val="9"/>
        <color theme="1"/>
        <rFont val="Calibri"/>
        <family val="2"/>
        <scheme val="minor"/>
      </rPr>
      <t xml:space="preserve"> retention</t>
    </r>
  </si>
  <si>
    <r>
      <t>Derived from CO</t>
    </r>
    <r>
      <rPr>
        <vertAlign val="subscript"/>
        <sz val="9"/>
        <color theme="1"/>
        <rFont val="Calibri"/>
        <family val="2"/>
        <scheme val="minor"/>
      </rPr>
      <t>2</t>
    </r>
    <r>
      <rPr>
        <sz val="9"/>
        <color theme="1"/>
        <rFont val="Calibri"/>
        <family val="2"/>
        <scheme val="minor"/>
      </rPr>
      <t xml:space="preserve"> injected and CO</t>
    </r>
    <r>
      <rPr>
        <vertAlign val="subscript"/>
        <sz val="9"/>
        <color theme="1"/>
        <rFont val="Calibri"/>
        <family val="2"/>
        <scheme val="minor"/>
      </rPr>
      <t>2</t>
    </r>
    <r>
      <rPr>
        <sz val="9"/>
        <color theme="1"/>
        <rFont val="Calibri"/>
        <family val="2"/>
        <scheme val="minor"/>
      </rPr>
      <t xml:space="preserve"> produced</t>
    </r>
  </si>
  <si>
    <r>
      <t>m</t>
    </r>
    <r>
      <rPr>
        <vertAlign val="superscript"/>
        <sz val="9"/>
        <color theme="1"/>
        <rFont val="Calibri"/>
        <family val="2"/>
        <scheme val="minor"/>
      </rPr>
      <t>2</t>
    </r>
  </si>
  <si>
    <r>
      <t>Derived from unit conversion from acres to m</t>
    </r>
    <r>
      <rPr>
        <vertAlign val="superscript"/>
        <sz val="9"/>
        <color theme="1"/>
        <rFont val="Calibri"/>
        <family val="2"/>
        <scheme val="minor"/>
      </rPr>
      <t>2</t>
    </r>
  </si>
  <si>
    <r>
      <t>CO</t>
    </r>
    <r>
      <rPr>
        <vertAlign val="subscript"/>
        <sz val="9"/>
        <color theme="1"/>
        <rFont val="Calibri"/>
        <family val="2"/>
        <scheme val="minor"/>
      </rPr>
      <t>2</t>
    </r>
    <r>
      <rPr>
        <sz val="9"/>
        <color theme="1"/>
        <rFont val="Calibri"/>
        <family val="2"/>
        <scheme val="minor"/>
      </rPr>
      <t xml:space="preserve"> emissions</t>
    </r>
  </si>
  <si>
    <r>
      <t>CO</t>
    </r>
    <r>
      <rPr>
        <vertAlign val="subscript"/>
        <sz val="9"/>
        <color theme="1"/>
        <rFont val="Calibri"/>
        <family val="2"/>
        <scheme val="minor"/>
      </rPr>
      <t>2</t>
    </r>
    <r>
      <rPr>
        <sz val="9"/>
        <color theme="1"/>
        <rFont val="Calibri"/>
        <family val="2"/>
        <scheme val="minor"/>
      </rPr>
      <t xml:space="preserve"> emissions factor</t>
    </r>
  </si>
  <si>
    <r>
      <t>Derived from the CO</t>
    </r>
    <r>
      <rPr>
        <vertAlign val="subscript"/>
        <sz val="9"/>
        <color theme="1"/>
        <rFont val="Calibri"/>
        <family val="2"/>
        <scheme val="minor"/>
      </rPr>
      <t>2</t>
    </r>
    <r>
      <rPr>
        <sz val="9"/>
        <color theme="1"/>
        <rFont val="Calibri"/>
        <family val="2"/>
        <scheme val="minor"/>
      </rPr>
      <t xml:space="preserve"> emissions factor and the barrels of crude produced</t>
    </r>
  </si>
  <si>
    <r>
      <t>Derived from the compressor power factor and the daily CO</t>
    </r>
    <r>
      <rPr>
        <vertAlign val="subscript"/>
        <sz val="9"/>
        <color theme="1"/>
        <rFont val="Calibri"/>
        <family val="2"/>
        <scheme val="minor"/>
      </rPr>
      <t>2</t>
    </r>
    <r>
      <rPr>
        <sz val="9"/>
        <color theme="1"/>
        <rFont val="Calibri"/>
        <family val="2"/>
        <scheme val="minor"/>
      </rPr>
      <t xml:space="preserve"> production rate</t>
    </r>
  </si>
  <si>
    <r>
      <t>CO</t>
    </r>
    <r>
      <rPr>
        <vertAlign val="subscript"/>
        <sz val="9"/>
        <color theme="1"/>
        <rFont val="Calibri"/>
        <family val="2"/>
        <scheme val="minor"/>
      </rPr>
      <t>2</t>
    </r>
    <r>
      <rPr>
        <sz val="9"/>
        <color theme="1"/>
        <rFont val="Calibri"/>
        <family val="2"/>
        <scheme val="minor"/>
      </rPr>
      <t xml:space="preserve"> pump power factor</t>
    </r>
  </si>
  <si>
    <r>
      <t>CO</t>
    </r>
    <r>
      <rPr>
        <vertAlign val="subscript"/>
        <sz val="9"/>
        <color theme="1"/>
        <rFont val="Calibri"/>
        <family val="2"/>
        <scheme val="minor"/>
      </rPr>
      <t>2</t>
    </r>
    <r>
      <rPr>
        <sz val="9"/>
        <color theme="1"/>
        <rFont val="Calibri"/>
        <family val="2"/>
        <scheme val="minor"/>
      </rPr>
      <t xml:space="preserve"> pump power</t>
    </r>
  </si>
  <si>
    <r>
      <t>Derived from the pump power factor and the daily CO</t>
    </r>
    <r>
      <rPr>
        <vertAlign val="subscript"/>
        <sz val="9"/>
        <color theme="1"/>
        <rFont val="Calibri"/>
        <family val="2"/>
        <scheme val="minor"/>
      </rPr>
      <t>2</t>
    </r>
    <r>
      <rPr>
        <sz val="9"/>
        <color theme="1"/>
        <rFont val="Calibri"/>
        <family val="2"/>
        <scheme val="minor"/>
      </rPr>
      <t xml:space="preserve"> injection rate</t>
    </r>
  </si>
  <si>
    <r>
      <t>CO</t>
    </r>
    <r>
      <rPr>
        <vertAlign val="subscript"/>
        <sz val="9"/>
        <color theme="1"/>
        <rFont val="Calibri"/>
        <family val="2"/>
        <scheme val="minor"/>
      </rPr>
      <t>2</t>
    </r>
    <r>
      <rPr>
        <sz val="9"/>
        <color theme="1"/>
        <rFont val="Calibri"/>
        <family val="2"/>
        <scheme val="minor"/>
      </rPr>
      <t xml:space="preserve"> pump energy</t>
    </r>
  </si>
  <si>
    <r>
      <t>CO</t>
    </r>
    <r>
      <rPr>
        <vertAlign val="subscript"/>
        <sz val="9"/>
        <color theme="1"/>
        <rFont val="Calibri"/>
        <family val="2"/>
        <scheme val="minor"/>
      </rPr>
      <t>2</t>
    </r>
    <r>
      <rPr>
        <sz val="9"/>
        <color theme="1"/>
        <rFont val="Calibri"/>
        <family val="2"/>
        <scheme val="minor"/>
      </rPr>
      <t xml:space="preserve"> emissions (total)</t>
    </r>
  </si>
  <si>
    <r>
      <t>CO</t>
    </r>
    <r>
      <rPr>
        <vertAlign val="subscript"/>
        <sz val="9"/>
        <color theme="1"/>
        <rFont val="Calibri"/>
        <family val="2"/>
        <scheme val="minor"/>
      </rPr>
      <t>2</t>
    </r>
    <r>
      <rPr>
        <sz val="9"/>
        <color theme="1"/>
        <rFont val="Calibri"/>
        <family val="2"/>
        <scheme val="minor"/>
      </rPr>
      <t xml:space="preserve"> emissions factor (total)</t>
    </r>
  </si>
  <si>
    <r>
      <t>Compressor CO</t>
    </r>
    <r>
      <rPr>
        <vertAlign val="subscript"/>
        <sz val="9"/>
        <color theme="1"/>
        <rFont val="Calibri"/>
        <family val="2"/>
        <scheme val="minor"/>
      </rPr>
      <t>2</t>
    </r>
    <r>
      <rPr>
        <sz val="9"/>
        <color theme="1"/>
        <rFont val="Calibri"/>
        <family val="2"/>
        <scheme val="minor"/>
      </rPr>
      <t xml:space="preserve"> emissions rate (direct to atmosphere)</t>
    </r>
  </si>
  <si>
    <r>
      <t>kg CO</t>
    </r>
    <r>
      <rPr>
        <vertAlign val="subscript"/>
        <sz val="9"/>
        <color theme="1"/>
        <rFont val="Calibri"/>
        <family val="2"/>
        <scheme val="minor"/>
      </rPr>
      <t>2</t>
    </r>
    <r>
      <rPr>
        <sz val="9"/>
        <color theme="1"/>
        <rFont val="Calibri"/>
        <family val="2"/>
        <scheme val="minor"/>
      </rPr>
      <t>e / MW-day</t>
    </r>
  </si>
  <si>
    <r>
      <t>Compressor CO</t>
    </r>
    <r>
      <rPr>
        <vertAlign val="subscript"/>
        <sz val="9"/>
        <color theme="1"/>
        <rFont val="Calibri"/>
        <family val="2"/>
        <scheme val="minor"/>
      </rPr>
      <t>2</t>
    </r>
    <r>
      <rPr>
        <sz val="9"/>
        <color theme="1"/>
        <rFont val="Calibri"/>
        <family val="2"/>
        <scheme val="minor"/>
      </rPr>
      <t xml:space="preserve"> emissions (direct to atmosphere)</t>
    </r>
  </si>
  <si>
    <r>
      <t>Derived from the compressor CO</t>
    </r>
    <r>
      <rPr>
        <vertAlign val="subscript"/>
        <sz val="9"/>
        <color theme="1"/>
        <rFont val="Calibri"/>
        <family val="2"/>
        <scheme val="minor"/>
      </rPr>
      <t>2</t>
    </r>
    <r>
      <rPr>
        <sz val="9"/>
        <color theme="1"/>
        <rFont val="Calibri"/>
        <family val="2"/>
        <scheme val="minor"/>
      </rPr>
      <t xml:space="preserve"> emissions rate and the MW of energy used</t>
    </r>
  </si>
  <si>
    <r>
      <t>Compressor CO</t>
    </r>
    <r>
      <rPr>
        <vertAlign val="subscript"/>
        <sz val="9"/>
        <color theme="1"/>
        <rFont val="Calibri"/>
        <family val="2"/>
        <scheme val="minor"/>
      </rPr>
      <t>2</t>
    </r>
    <r>
      <rPr>
        <sz val="9"/>
        <color theme="1"/>
        <rFont val="Calibri"/>
        <family val="2"/>
        <scheme val="minor"/>
      </rPr>
      <t xml:space="preserve"> emissions factor (direct to atmosphere)</t>
    </r>
  </si>
  <si>
    <r>
      <t>CO</t>
    </r>
    <r>
      <rPr>
        <vertAlign val="subscript"/>
        <sz val="9"/>
        <color theme="1"/>
        <rFont val="Calibri"/>
        <family val="2"/>
        <scheme val="minor"/>
      </rPr>
      <t>2</t>
    </r>
    <r>
      <rPr>
        <sz val="9"/>
        <color theme="1"/>
        <rFont val="Calibri"/>
        <family val="2"/>
        <scheme val="minor"/>
      </rPr>
      <t xml:space="preserve"> emissions rate</t>
    </r>
  </si>
  <si>
    <r>
      <t>kg CO</t>
    </r>
    <r>
      <rPr>
        <vertAlign val="subscript"/>
        <sz val="9"/>
        <color theme="1"/>
        <rFont val="Calibri"/>
        <family val="2"/>
        <scheme val="minor"/>
      </rPr>
      <t>2</t>
    </r>
    <r>
      <rPr>
        <sz val="9"/>
        <color theme="1"/>
        <rFont val="Calibri"/>
        <family val="2"/>
        <scheme val="minor"/>
      </rPr>
      <t xml:space="preserve"> / kg VOC</t>
    </r>
  </si>
  <si>
    <r>
      <t>Assumes VOC = 100% pentanes (C</t>
    </r>
    <r>
      <rPr>
        <vertAlign val="subscript"/>
        <sz val="9"/>
        <color theme="1"/>
        <rFont val="Calibri"/>
        <family val="2"/>
        <scheme val="minor"/>
      </rPr>
      <t>5</t>
    </r>
    <r>
      <rPr>
        <sz val="9"/>
        <color theme="1"/>
        <rFont val="Calibri"/>
        <family val="2"/>
        <scheme val="minor"/>
      </rPr>
      <t>H</t>
    </r>
    <r>
      <rPr>
        <vertAlign val="subscript"/>
        <sz val="9"/>
        <color theme="1"/>
        <rFont val="Calibri"/>
        <family val="2"/>
        <scheme val="minor"/>
      </rPr>
      <t>12</t>
    </r>
    <r>
      <rPr>
        <sz val="9"/>
        <color theme="1"/>
        <rFont val="Calibri"/>
        <family val="2"/>
        <scheme val="minor"/>
      </rPr>
      <t>) and uses the stated combustion efficiency (DOE-NETL, 2013a)</t>
    </r>
  </si>
  <si>
    <r>
      <t>Derived from the kg VOC and the CO</t>
    </r>
    <r>
      <rPr>
        <vertAlign val="subscript"/>
        <sz val="9"/>
        <color theme="1"/>
        <rFont val="Calibri"/>
        <family val="2"/>
        <scheme val="minor"/>
      </rPr>
      <t>2</t>
    </r>
    <r>
      <rPr>
        <sz val="9"/>
        <color theme="1"/>
        <rFont val="Calibri"/>
        <family val="2"/>
        <scheme val="minor"/>
      </rPr>
      <t xml:space="preserve"> emissions rate</t>
    </r>
  </si>
  <si>
    <r>
      <t>Natural gas delivered CO</t>
    </r>
    <r>
      <rPr>
        <vertAlign val="subscript"/>
        <sz val="9"/>
        <color theme="1"/>
        <rFont val="Calibri"/>
        <family val="2"/>
        <scheme val="minor"/>
      </rPr>
      <t>2</t>
    </r>
    <r>
      <rPr>
        <sz val="9"/>
        <color theme="1"/>
        <rFont val="Calibri"/>
        <family val="2"/>
        <scheme val="minor"/>
      </rPr>
      <t xml:space="preserve"> emissions factor</t>
    </r>
  </si>
  <si>
    <r>
      <t>kg CO</t>
    </r>
    <r>
      <rPr>
        <vertAlign val="subscript"/>
        <sz val="9"/>
        <color theme="1"/>
        <rFont val="Calibri"/>
        <family val="2"/>
        <scheme val="minor"/>
      </rPr>
      <t>2</t>
    </r>
    <r>
      <rPr>
        <sz val="9"/>
        <color theme="1"/>
        <rFont val="Calibri"/>
        <family val="2"/>
        <scheme val="minor"/>
      </rPr>
      <t xml:space="preserve"> / kg natural gas</t>
    </r>
  </si>
  <si>
    <r>
      <t>Natural gas delivered CH</t>
    </r>
    <r>
      <rPr>
        <vertAlign val="subscript"/>
        <sz val="9"/>
        <color theme="1"/>
        <rFont val="Calibri"/>
        <family val="2"/>
        <scheme val="minor"/>
      </rPr>
      <t>4</t>
    </r>
    <r>
      <rPr>
        <sz val="9"/>
        <color theme="1"/>
        <rFont val="Calibri"/>
        <family val="2"/>
        <scheme val="minor"/>
      </rPr>
      <t xml:space="preserve"> emissions factor</t>
    </r>
  </si>
  <si>
    <r>
      <t>kg CH</t>
    </r>
    <r>
      <rPr>
        <vertAlign val="subscript"/>
        <sz val="9"/>
        <color theme="1"/>
        <rFont val="Calibri"/>
        <family val="2"/>
        <scheme val="minor"/>
      </rPr>
      <t>4</t>
    </r>
    <r>
      <rPr>
        <sz val="9"/>
        <color theme="1"/>
        <rFont val="Calibri"/>
        <family val="2"/>
        <scheme val="minor"/>
      </rPr>
      <t xml:space="preserve"> / kg natural gas</t>
    </r>
  </si>
  <si>
    <r>
      <t>Natural gas delivered N</t>
    </r>
    <r>
      <rPr>
        <vertAlign val="subscript"/>
        <sz val="9"/>
        <color theme="1"/>
        <rFont val="Calibri"/>
        <family val="2"/>
        <scheme val="minor"/>
      </rPr>
      <t>2</t>
    </r>
    <r>
      <rPr>
        <sz val="9"/>
        <color theme="1"/>
        <rFont val="Calibri"/>
        <family val="2"/>
        <scheme val="minor"/>
      </rPr>
      <t>O emissions factor</t>
    </r>
  </si>
  <si>
    <r>
      <t>kg N</t>
    </r>
    <r>
      <rPr>
        <vertAlign val="subscript"/>
        <sz val="9"/>
        <color theme="1"/>
        <rFont val="Calibri"/>
        <family val="2"/>
        <scheme val="minor"/>
      </rPr>
      <t>2</t>
    </r>
    <r>
      <rPr>
        <sz val="9"/>
        <color theme="1"/>
        <rFont val="Calibri"/>
        <family val="2"/>
        <scheme val="minor"/>
      </rPr>
      <t>O / kg natural gas</t>
    </r>
  </si>
  <si>
    <r>
      <t>Natural gas delivered CO</t>
    </r>
    <r>
      <rPr>
        <vertAlign val="subscript"/>
        <sz val="9"/>
        <color theme="1"/>
        <rFont val="Calibri"/>
        <family val="2"/>
        <scheme val="minor"/>
      </rPr>
      <t>2</t>
    </r>
    <r>
      <rPr>
        <sz val="9"/>
        <color theme="1"/>
        <rFont val="Calibri"/>
        <family val="2"/>
        <scheme val="minor"/>
      </rPr>
      <t xml:space="preserve"> emissions</t>
    </r>
  </si>
  <si>
    <r>
      <t>Derived from the natural gas delivered CO</t>
    </r>
    <r>
      <rPr>
        <vertAlign val="subscript"/>
        <sz val="9"/>
        <color theme="1"/>
        <rFont val="Calibri"/>
        <family val="2"/>
        <scheme val="minor"/>
      </rPr>
      <t>2</t>
    </r>
    <r>
      <rPr>
        <sz val="9"/>
        <color theme="1"/>
        <rFont val="Calibri"/>
        <family val="2"/>
        <scheme val="minor"/>
      </rPr>
      <t xml:space="preserve"> emissions factor and the natural gas usage</t>
    </r>
  </si>
  <si>
    <r>
      <t>Natural gas delivered CH</t>
    </r>
    <r>
      <rPr>
        <vertAlign val="subscript"/>
        <sz val="9"/>
        <color theme="1"/>
        <rFont val="Calibri"/>
        <family val="2"/>
        <scheme val="minor"/>
      </rPr>
      <t>4</t>
    </r>
    <r>
      <rPr>
        <sz val="9"/>
        <color theme="1"/>
        <rFont val="Calibri"/>
        <family val="2"/>
        <scheme val="minor"/>
      </rPr>
      <t xml:space="preserve"> emissions</t>
    </r>
  </si>
  <si>
    <r>
      <t>kg CH</t>
    </r>
    <r>
      <rPr>
        <vertAlign val="subscript"/>
        <sz val="9"/>
        <color theme="1"/>
        <rFont val="Calibri"/>
        <family val="2"/>
        <scheme val="minor"/>
      </rPr>
      <t>4</t>
    </r>
  </si>
  <si>
    <r>
      <t>Derived from the natural gas delivered CH</t>
    </r>
    <r>
      <rPr>
        <vertAlign val="subscript"/>
        <sz val="9"/>
        <color theme="1"/>
        <rFont val="Calibri"/>
        <family val="2"/>
        <scheme val="minor"/>
      </rPr>
      <t>4</t>
    </r>
    <r>
      <rPr>
        <sz val="9"/>
        <color theme="1"/>
        <rFont val="Calibri"/>
        <family val="2"/>
        <scheme val="minor"/>
      </rPr>
      <t xml:space="preserve"> emissions factor and the natural gas usage</t>
    </r>
  </si>
  <si>
    <r>
      <t>Natural gas delivered N</t>
    </r>
    <r>
      <rPr>
        <vertAlign val="subscript"/>
        <sz val="9"/>
        <color theme="1"/>
        <rFont val="Calibri"/>
        <family val="2"/>
        <scheme val="minor"/>
      </rPr>
      <t>2</t>
    </r>
    <r>
      <rPr>
        <sz val="9"/>
        <color theme="1"/>
        <rFont val="Calibri"/>
        <family val="2"/>
        <scheme val="minor"/>
      </rPr>
      <t>O emissions</t>
    </r>
  </si>
  <si>
    <r>
      <t>kg N</t>
    </r>
    <r>
      <rPr>
        <vertAlign val="subscript"/>
        <sz val="9"/>
        <color theme="1"/>
        <rFont val="Calibri"/>
        <family val="2"/>
        <scheme val="minor"/>
      </rPr>
      <t>2</t>
    </r>
    <r>
      <rPr>
        <sz val="9"/>
        <color theme="1"/>
        <rFont val="Calibri"/>
        <family val="2"/>
        <scheme val="minor"/>
      </rPr>
      <t>O</t>
    </r>
  </si>
  <si>
    <r>
      <t>Derived from the natural gas delivered N</t>
    </r>
    <r>
      <rPr>
        <vertAlign val="subscript"/>
        <sz val="9"/>
        <color theme="1"/>
        <rFont val="Calibri"/>
        <family val="2"/>
        <scheme val="minor"/>
      </rPr>
      <t>2</t>
    </r>
    <r>
      <rPr>
        <sz val="9"/>
        <color theme="1"/>
        <rFont val="Calibri"/>
        <family val="2"/>
        <scheme val="minor"/>
      </rPr>
      <t>O emissions factor and the natural gas usage</t>
    </r>
  </si>
  <si>
    <r>
      <t>Applying IPCC 100-year GWP factor for CH</t>
    </r>
    <r>
      <rPr>
        <vertAlign val="subscript"/>
        <sz val="9"/>
        <color theme="1"/>
        <rFont val="Calibri"/>
        <family val="2"/>
        <scheme val="minor"/>
      </rPr>
      <t>4</t>
    </r>
  </si>
  <si>
    <r>
      <t>Applying IPCC 100-year GWP factor for N</t>
    </r>
    <r>
      <rPr>
        <vertAlign val="subscript"/>
        <sz val="9"/>
        <color theme="1"/>
        <rFont val="Calibri"/>
        <family val="2"/>
        <scheme val="minor"/>
      </rPr>
      <t>2</t>
    </r>
    <r>
      <rPr>
        <sz val="9"/>
        <color theme="1"/>
        <rFont val="Calibri"/>
        <family val="2"/>
        <scheme val="minor"/>
      </rPr>
      <t>O</t>
    </r>
  </si>
  <si>
    <r>
      <t>Derived from the sum of CO</t>
    </r>
    <r>
      <rPr>
        <vertAlign val="subscript"/>
        <sz val="9"/>
        <color theme="1"/>
        <rFont val="Calibri"/>
        <family val="2"/>
        <scheme val="minor"/>
      </rPr>
      <t>2</t>
    </r>
    <r>
      <rPr>
        <sz val="9"/>
        <color theme="1"/>
        <rFont val="Calibri"/>
        <family val="2"/>
        <scheme val="minor"/>
      </rPr>
      <t>, CH</t>
    </r>
    <r>
      <rPr>
        <vertAlign val="subscript"/>
        <sz val="9"/>
        <color theme="1"/>
        <rFont val="Calibri"/>
        <family val="2"/>
        <scheme val="minor"/>
      </rPr>
      <t>4</t>
    </r>
    <r>
      <rPr>
        <sz val="9"/>
        <color theme="1"/>
        <rFont val="Calibri"/>
        <family val="2"/>
        <scheme val="minor"/>
      </rPr>
      <t>, and N</t>
    </r>
    <r>
      <rPr>
        <vertAlign val="subscript"/>
        <sz val="9"/>
        <color theme="1"/>
        <rFont val="Calibri"/>
        <family val="2"/>
        <scheme val="minor"/>
      </rPr>
      <t>2</t>
    </r>
    <r>
      <rPr>
        <sz val="9"/>
        <color theme="1"/>
        <rFont val="Calibri"/>
        <family val="2"/>
        <scheme val="minor"/>
      </rPr>
      <t>O in kg CO</t>
    </r>
    <r>
      <rPr>
        <vertAlign val="subscript"/>
        <sz val="9"/>
        <color theme="1"/>
        <rFont val="Calibri"/>
        <family val="2"/>
        <scheme val="minor"/>
      </rPr>
      <t>2</t>
    </r>
    <r>
      <rPr>
        <sz val="9"/>
        <color theme="1"/>
        <rFont val="Calibri"/>
        <family val="2"/>
        <scheme val="minor"/>
      </rPr>
      <t>e</t>
    </r>
  </si>
  <si>
    <r>
      <t>Natural gas combustion CO</t>
    </r>
    <r>
      <rPr>
        <vertAlign val="subscript"/>
        <sz val="9"/>
        <color theme="1"/>
        <rFont val="Calibri"/>
        <family val="2"/>
        <scheme val="minor"/>
      </rPr>
      <t>2</t>
    </r>
    <r>
      <rPr>
        <sz val="9"/>
        <color theme="1"/>
        <rFont val="Calibri"/>
        <family val="2"/>
        <scheme val="minor"/>
      </rPr>
      <t xml:space="preserve"> emissions factor</t>
    </r>
  </si>
  <si>
    <r>
      <t>kg CO</t>
    </r>
    <r>
      <rPr>
        <vertAlign val="subscript"/>
        <sz val="9"/>
        <color theme="1"/>
        <rFont val="Calibri"/>
        <family val="2"/>
        <scheme val="minor"/>
      </rPr>
      <t>2</t>
    </r>
    <r>
      <rPr>
        <sz val="9"/>
        <color theme="1"/>
        <rFont val="Calibri"/>
        <family val="2"/>
        <scheme val="minor"/>
      </rPr>
      <t xml:space="preserve"> / kg natural gas combusted</t>
    </r>
  </si>
  <si>
    <r>
      <t>Natural gas combustion CH</t>
    </r>
    <r>
      <rPr>
        <vertAlign val="subscript"/>
        <sz val="9"/>
        <color theme="1"/>
        <rFont val="Calibri"/>
        <family val="2"/>
        <scheme val="minor"/>
      </rPr>
      <t>4</t>
    </r>
    <r>
      <rPr>
        <sz val="9"/>
        <color theme="1"/>
        <rFont val="Calibri"/>
        <family val="2"/>
        <scheme val="minor"/>
      </rPr>
      <t xml:space="preserve"> emissions factor</t>
    </r>
  </si>
  <si>
    <r>
      <t>kg CH</t>
    </r>
    <r>
      <rPr>
        <vertAlign val="subscript"/>
        <sz val="9"/>
        <color theme="1"/>
        <rFont val="Calibri"/>
        <family val="2"/>
        <scheme val="minor"/>
      </rPr>
      <t>4</t>
    </r>
    <r>
      <rPr>
        <sz val="9"/>
        <color theme="1"/>
        <rFont val="Calibri"/>
        <family val="2"/>
        <scheme val="minor"/>
      </rPr>
      <t xml:space="preserve"> / kg natural gas combusted</t>
    </r>
  </si>
  <si>
    <r>
      <t>Natural gas combustion N</t>
    </r>
    <r>
      <rPr>
        <vertAlign val="subscript"/>
        <sz val="9"/>
        <color theme="1"/>
        <rFont val="Calibri"/>
        <family val="2"/>
        <scheme val="minor"/>
      </rPr>
      <t>2</t>
    </r>
    <r>
      <rPr>
        <sz val="9"/>
        <color theme="1"/>
        <rFont val="Calibri"/>
        <family val="2"/>
        <scheme val="minor"/>
      </rPr>
      <t>O emissions factor</t>
    </r>
  </si>
  <si>
    <r>
      <t>kg N</t>
    </r>
    <r>
      <rPr>
        <vertAlign val="subscript"/>
        <sz val="9"/>
        <color theme="1"/>
        <rFont val="Calibri"/>
        <family val="2"/>
        <scheme val="minor"/>
      </rPr>
      <t>2</t>
    </r>
    <r>
      <rPr>
        <sz val="9"/>
        <color theme="1"/>
        <rFont val="Calibri"/>
        <family val="2"/>
        <scheme val="minor"/>
      </rPr>
      <t>O / kg natural gas combusted</t>
    </r>
  </si>
  <si>
    <r>
      <t>Natural gas combustion CO</t>
    </r>
    <r>
      <rPr>
        <vertAlign val="subscript"/>
        <sz val="9"/>
        <color theme="1"/>
        <rFont val="Calibri"/>
        <family val="2"/>
        <scheme val="minor"/>
      </rPr>
      <t>2</t>
    </r>
    <r>
      <rPr>
        <sz val="9"/>
        <color theme="1"/>
        <rFont val="Calibri"/>
        <family val="2"/>
        <scheme val="minor"/>
      </rPr>
      <t xml:space="preserve"> emissions</t>
    </r>
  </si>
  <si>
    <r>
      <t>Derived from the natural gas combustion CO</t>
    </r>
    <r>
      <rPr>
        <vertAlign val="subscript"/>
        <sz val="9"/>
        <color theme="1"/>
        <rFont val="Calibri"/>
        <family val="2"/>
        <scheme val="minor"/>
      </rPr>
      <t>2</t>
    </r>
    <r>
      <rPr>
        <sz val="9"/>
        <color theme="1"/>
        <rFont val="Calibri"/>
        <family val="2"/>
        <scheme val="minor"/>
      </rPr>
      <t xml:space="preserve"> emissions factor and the natural gas usage</t>
    </r>
  </si>
  <si>
    <r>
      <t>Natural gas combustion CH</t>
    </r>
    <r>
      <rPr>
        <vertAlign val="subscript"/>
        <sz val="9"/>
        <color theme="1"/>
        <rFont val="Calibri"/>
        <family val="2"/>
        <scheme val="minor"/>
      </rPr>
      <t>4</t>
    </r>
    <r>
      <rPr>
        <sz val="9"/>
        <color theme="1"/>
        <rFont val="Calibri"/>
        <family val="2"/>
        <scheme val="minor"/>
      </rPr>
      <t xml:space="preserve"> emissions</t>
    </r>
  </si>
  <si>
    <r>
      <t>Derived from the natural gas combustion CH</t>
    </r>
    <r>
      <rPr>
        <vertAlign val="subscript"/>
        <sz val="9"/>
        <color theme="1"/>
        <rFont val="Calibri"/>
        <family val="2"/>
        <scheme val="minor"/>
      </rPr>
      <t>4</t>
    </r>
    <r>
      <rPr>
        <sz val="9"/>
        <color theme="1"/>
        <rFont val="Calibri"/>
        <family val="2"/>
        <scheme val="minor"/>
      </rPr>
      <t xml:space="preserve"> emissions factor and the natural gas usage</t>
    </r>
  </si>
  <si>
    <r>
      <t>Natural gas combustion N</t>
    </r>
    <r>
      <rPr>
        <vertAlign val="subscript"/>
        <sz val="9"/>
        <color theme="1"/>
        <rFont val="Calibri"/>
        <family val="2"/>
        <scheme val="minor"/>
      </rPr>
      <t>2</t>
    </r>
    <r>
      <rPr>
        <sz val="9"/>
        <color theme="1"/>
        <rFont val="Calibri"/>
        <family val="2"/>
        <scheme val="minor"/>
      </rPr>
      <t>O emissions</t>
    </r>
  </si>
  <si>
    <r>
      <t>Derived from the natural gas combustion N</t>
    </r>
    <r>
      <rPr>
        <vertAlign val="subscript"/>
        <sz val="9"/>
        <color theme="1"/>
        <rFont val="Calibri"/>
        <family val="2"/>
        <scheme val="minor"/>
      </rPr>
      <t>2</t>
    </r>
    <r>
      <rPr>
        <sz val="9"/>
        <color theme="1"/>
        <rFont val="Calibri"/>
        <family val="2"/>
        <scheme val="minor"/>
      </rPr>
      <t>O emissions factor and the natural gas usage</t>
    </r>
  </si>
  <si>
    <r>
      <t>Natural gas conbustion N</t>
    </r>
    <r>
      <rPr>
        <vertAlign val="subscript"/>
        <sz val="9"/>
        <color theme="1"/>
        <rFont val="Calibri"/>
        <family val="2"/>
        <scheme val="minor"/>
      </rPr>
      <t>2</t>
    </r>
    <r>
      <rPr>
        <sz val="9"/>
        <color theme="1"/>
        <rFont val="Calibri"/>
        <family val="2"/>
        <scheme val="minor"/>
      </rPr>
      <t>O emissions</t>
    </r>
  </si>
  <si>
    <r>
      <t>CO</t>
    </r>
    <r>
      <rPr>
        <vertAlign val="subscript"/>
        <sz val="9"/>
        <color theme="1"/>
        <rFont val="Calibri"/>
        <family val="2"/>
        <scheme val="minor"/>
      </rPr>
      <t>2</t>
    </r>
    <r>
      <rPr>
        <sz val="9"/>
        <color theme="1"/>
        <rFont val="Calibri"/>
        <family val="2"/>
        <scheme val="minor"/>
      </rPr>
      <t xml:space="preserve"> emitted per kg VOC</t>
    </r>
  </si>
  <si>
    <r>
      <t>CO</t>
    </r>
    <r>
      <rPr>
        <vertAlign val="subscript"/>
        <sz val="9"/>
        <color theme="1"/>
        <rFont val="Calibri"/>
        <family val="2"/>
        <scheme val="minor"/>
      </rPr>
      <t>2</t>
    </r>
    <r>
      <rPr>
        <sz val="9"/>
        <color theme="1"/>
        <rFont val="Calibri"/>
        <family val="2"/>
        <scheme val="minor"/>
      </rPr>
      <t xml:space="preserve"> emitted from flare</t>
    </r>
  </si>
  <si>
    <r>
      <t>Derived from the kg VOC flared and the CO</t>
    </r>
    <r>
      <rPr>
        <vertAlign val="subscript"/>
        <sz val="9"/>
        <color theme="1"/>
        <rFont val="Calibri"/>
        <family val="2"/>
        <scheme val="minor"/>
      </rPr>
      <t>2</t>
    </r>
    <r>
      <rPr>
        <sz val="9"/>
        <color theme="1"/>
        <rFont val="Calibri"/>
        <family val="2"/>
        <scheme val="minor"/>
      </rPr>
      <t xml:space="preserve"> emissions rate</t>
    </r>
  </si>
  <si>
    <r>
      <t>kg CH</t>
    </r>
    <r>
      <rPr>
        <vertAlign val="subscript"/>
        <sz val="9"/>
        <color theme="1"/>
        <rFont val="Calibri"/>
        <family val="2"/>
        <scheme val="minor"/>
      </rPr>
      <t>4</t>
    </r>
    <r>
      <rPr>
        <sz val="9"/>
        <color theme="1"/>
        <rFont val="Calibri"/>
        <family val="2"/>
        <scheme val="minor"/>
      </rPr>
      <t xml:space="preserve"> / bbl water</t>
    </r>
  </si>
  <si>
    <r>
      <t>kg / m</t>
    </r>
    <r>
      <rPr>
        <vertAlign val="superscript"/>
        <sz val="9"/>
        <color theme="1"/>
        <rFont val="Calibri"/>
        <family val="2"/>
        <scheme val="minor"/>
      </rPr>
      <t>3</t>
    </r>
  </si>
  <si>
    <r>
      <t>Derived from unit conversion from kg/m</t>
    </r>
    <r>
      <rPr>
        <vertAlign val="superscript"/>
        <sz val="9"/>
        <color theme="1"/>
        <rFont val="Calibri"/>
        <family val="2"/>
        <scheme val="minor"/>
      </rPr>
      <t>3</t>
    </r>
    <r>
      <rPr>
        <sz val="9"/>
        <color theme="1"/>
        <rFont val="Calibri"/>
        <family val="2"/>
        <scheme val="minor"/>
      </rPr>
      <t xml:space="preserve"> to kg/bbl</t>
    </r>
  </si>
  <si>
    <r>
      <t>Brine disposal pump CO</t>
    </r>
    <r>
      <rPr>
        <vertAlign val="subscript"/>
        <sz val="9"/>
        <color theme="1"/>
        <rFont val="Calibri"/>
        <family val="2"/>
        <scheme val="minor"/>
      </rPr>
      <t>2</t>
    </r>
    <r>
      <rPr>
        <sz val="9"/>
        <color theme="1"/>
        <rFont val="Calibri"/>
        <family val="2"/>
        <scheme val="minor"/>
      </rPr>
      <t xml:space="preserve"> emissions</t>
    </r>
  </si>
  <si>
    <r>
      <t>Brine disposal pump CO</t>
    </r>
    <r>
      <rPr>
        <vertAlign val="subscript"/>
        <sz val="9"/>
        <color theme="1"/>
        <rFont val="Calibri"/>
        <family val="2"/>
        <scheme val="minor"/>
      </rPr>
      <t>2</t>
    </r>
    <r>
      <rPr>
        <sz val="9"/>
        <color theme="1"/>
        <rFont val="Calibri"/>
        <family val="2"/>
        <scheme val="minor"/>
      </rPr>
      <t xml:space="preserve"> emissions factor</t>
    </r>
  </si>
  <si>
    <r>
      <t>CO</t>
    </r>
    <r>
      <rPr>
        <vertAlign val="subscript"/>
        <sz val="9"/>
        <color theme="1"/>
        <rFont val="Calibri"/>
        <family val="2"/>
        <scheme val="minor"/>
      </rPr>
      <t>2</t>
    </r>
    <r>
      <rPr>
        <sz val="9"/>
        <color theme="1"/>
        <rFont val="Calibri"/>
        <family val="2"/>
        <scheme val="minor"/>
      </rPr>
      <t xml:space="preserve"> ready for reinjection</t>
    </r>
  </si>
  <si>
    <r>
      <t>Derived by the CO</t>
    </r>
    <r>
      <rPr>
        <vertAlign val="subscript"/>
        <sz val="9"/>
        <color theme="1"/>
        <rFont val="Calibri"/>
        <family val="2"/>
        <scheme val="minor"/>
      </rPr>
      <t>2</t>
    </r>
    <r>
      <rPr>
        <sz val="9"/>
        <color theme="1"/>
        <rFont val="Calibri"/>
        <family val="2"/>
        <scheme val="minor"/>
      </rPr>
      <t xml:space="preserve"> produced (recycled)</t>
    </r>
  </si>
  <si>
    <r>
      <t>MJ diesel / kg CO</t>
    </r>
    <r>
      <rPr>
        <vertAlign val="subscript"/>
        <sz val="9"/>
        <color theme="1"/>
        <rFont val="Calibri"/>
        <family val="2"/>
        <scheme val="minor"/>
      </rPr>
      <t>2</t>
    </r>
    <r>
      <rPr>
        <sz val="9"/>
        <color theme="1"/>
        <rFont val="Calibri"/>
        <family val="2"/>
        <scheme val="minor"/>
      </rPr>
      <t xml:space="preserve"> output</t>
    </r>
  </si>
  <si>
    <r>
      <t>Derived from the thermal energy rate and the kg of recycled CO</t>
    </r>
    <r>
      <rPr>
        <vertAlign val="subscript"/>
        <sz val="9"/>
        <color theme="1"/>
        <rFont val="Calibri"/>
        <family val="2"/>
        <scheme val="minor"/>
      </rPr>
      <t>2</t>
    </r>
  </si>
  <si>
    <r>
      <t>Diesel upstream delivered CO</t>
    </r>
    <r>
      <rPr>
        <vertAlign val="subscript"/>
        <sz val="9"/>
        <color theme="1"/>
        <rFont val="Calibri"/>
        <family val="2"/>
        <scheme val="minor"/>
      </rPr>
      <t>2</t>
    </r>
    <r>
      <rPr>
        <sz val="9"/>
        <color theme="1"/>
        <rFont val="Calibri"/>
        <family val="2"/>
        <scheme val="minor"/>
      </rPr>
      <t xml:space="preserve"> emissions factor</t>
    </r>
  </si>
  <si>
    <r>
      <t>kg CO</t>
    </r>
    <r>
      <rPr>
        <vertAlign val="subscript"/>
        <sz val="9"/>
        <color theme="1"/>
        <rFont val="Calibri"/>
        <family val="2"/>
        <scheme val="minor"/>
      </rPr>
      <t>2</t>
    </r>
    <r>
      <rPr>
        <sz val="9"/>
        <color theme="1"/>
        <rFont val="Calibri"/>
        <family val="2"/>
        <scheme val="minor"/>
      </rPr>
      <t xml:space="preserve"> / kg diesel</t>
    </r>
  </si>
  <si>
    <r>
      <t>Diesel upstream delivered CH</t>
    </r>
    <r>
      <rPr>
        <vertAlign val="subscript"/>
        <sz val="9"/>
        <color theme="1"/>
        <rFont val="Calibri"/>
        <family val="2"/>
        <scheme val="minor"/>
      </rPr>
      <t>4</t>
    </r>
    <r>
      <rPr>
        <sz val="9"/>
        <color theme="1"/>
        <rFont val="Calibri"/>
        <family val="2"/>
        <scheme val="minor"/>
      </rPr>
      <t xml:space="preserve"> emissions factor</t>
    </r>
  </si>
  <si>
    <r>
      <t>kg CH</t>
    </r>
    <r>
      <rPr>
        <vertAlign val="subscript"/>
        <sz val="9"/>
        <color theme="1"/>
        <rFont val="Calibri"/>
        <family val="2"/>
        <scheme val="minor"/>
      </rPr>
      <t>4</t>
    </r>
    <r>
      <rPr>
        <sz val="9"/>
        <color theme="1"/>
        <rFont val="Calibri"/>
        <family val="2"/>
        <scheme val="minor"/>
      </rPr>
      <t xml:space="preserve"> / kg diesel</t>
    </r>
  </si>
  <si>
    <r>
      <t>Diesel upstream delivered N</t>
    </r>
    <r>
      <rPr>
        <vertAlign val="subscript"/>
        <sz val="9"/>
        <color theme="1"/>
        <rFont val="Calibri"/>
        <family val="2"/>
        <scheme val="minor"/>
      </rPr>
      <t>2</t>
    </r>
    <r>
      <rPr>
        <sz val="9"/>
        <color theme="1"/>
        <rFont val="Calibri"/>
        <family val="2"/>
        <scheme val="minor"/>
      </rPr>
      <t>O emissions factor</t>
    </r>
  </si>
  <si>
    <r>
      <t>kg N</t>
    </r>
    <r>
      <rPr>
        <vertAlign val="subscript"/>
        <sz val="9"/>
        <color theme="1"/>
        <rFont val="Calibri"/>
        <family val="2"/>
        <scheme val="minor"/>
      </rPr>
      <t>2</t>
    </r>
    <r>
      <rPr>
        <sz val="9"/>
        <color theme="1"/>
        <rFont val="Calibri"/>
        <family val="2"/>
        <scheme val="minor"/>
      </rPr>
      <t>O / kg diesel</t>
    </r>
  </si>
  <si>
    <r>
      <t>Diesel upstream delivered CO</t>
    </r>
    <r>
      <rPr>
        <vertAlign val="subscript"/>
        <sz val="9"/>
        <color theme="1"/>
        <rFont val="Calibri"/>
        <family val="2"/>
        <scheme val="minor"/>
      </rPr>
      <t>2</t>
    </r>
    <r>
      <rPr>
        <sz val="9"/>
        <color theme="1"/>
        <rFont val="Calibri"/>
        <family val="2"/>
        <scheme val="minor"/>
      </rPr>
      <t xml:space="preserve"> emissions</t>
    </r>
  </si>
  <si>
    <r>
      <t>Diesel upstream delivered CH</t>
    </r>
    <r>
      <rPr>
        <vertAlign val="subscript"/>
        <sz val="9"/>
        <color theme="1"/>
        <rFont val="Calibri"/>
        <family val="2"/>
        <scheme val="minor"/>
      </rPr>
      <t>4</t>
    </r>
    <r>
      <rPr>
        <sz val="9"/>
        <color theme="1"/>
        <rFont val="Calibri"/>
        <family val="2"/>
        <scheme val="minor"/>
      </rPr>
      <t xml:space="preserve"> emissions</t>
    </r>
  </si>
  <si>
    <r>
      <t>Diesel upstream delivered N</t>
    </r>
    <r>
      <rPr>
        <vertAlign val="subscript"/>
        <sz val="9"/>
        <color theme="1"/>
        <rFont val="Calibri"/>
        <family val="2"/>
        <scheme val="minor"/>
      </rPr>
      <t>2</t>
    </r>
    <r>
      <rPr>
        <sz val="9"/>
        <color theme="1"/>
        <rFont val="Calibri"/>
        <family val="2"/>
        <scheme val="minor"/>
      </rPr>
      <t>O emissions</t>
    </r>
  </si>
  <si>
    <r>
      <t>Diesel combustion CO</t>
    </r>
    <r>
      <rPr>
        <vertAlign val="subscript"/>
        <sz val="9"/>
        <color theme="1"/>
        <rFont val="Calibri"/>
        <family val="2"/>
        <scheme val="minor"/>
      </rPr>
      <t>2</t>
    </r>
    <r>
      <rPr>
        <sz val="9"/>
        <color theme="1"/>
        <rFont val="Calibri"/>
        <family val="2"/>
        <scheme val="minor"/>
      </rPr>
      <t xml:space="preserve"> emissions factor</t>
    </r>
  </si>
  <si>
    <r>
      <t>kg CO</t>
    </r>
    <r>
      <rPr>
        <vertAlign val="subscript"/>
        <sz val="9"/>
        <color theme="1"/>
        <rFont val="Calibri"/>
        <family val="2"/>
        <scheme val="minor"/>
      </rPr>
      <t>2</t>
    </r>
    <r>
      <rPr>
        <sz val="9"/>
        <color theme="1"/>
        <rFont val="Calibri"/>
        <family val="2"/>
        <scheme val="minor"/>
      </rPr>
      <t xml:space="preserve"> / L diesel</t>
    </r>
  </si>
  <si>
    <r>
      <t>Diesel combustion CH</t>
    </r>
    <r>
      <rPr>
        <vertAlign val="subscript"/>
        <sz val="9"/>
        <color theme="1"/>
        <rFont val="Calibri"/>
        <family val="2"/>
        <scheme val="minor"/>
      </rPr>
      <t>4</t>
    </r>
    <r>
      <rPr>
        <sz val="9"/>
        <color theme="1"/>
        <rFont val="Calibri"/>
        <family val="2"/>
        <scheme val="minor"/>
      </rPr>
      <t xml:space="preserve"> emissions factor</t>
    </r>
  </si>
  <si>
    <r>
      <t>kg CH</t>
    </r>
    <r>
      <rPr>
        <vertAlign val="subscript"/>
        <sz val="9"/>
        <color theme="1"/>
        <rFont val="Calibri"/>
        <family val="2"/>
        <scheme val="minor"/>
      </rPr>
      <t>4</t>
    </r>
    <r>
      <rPr>
        <sz val="9"/>
        <color theme="1"/>
        <rFont val="Calibri"/>
        <family val="2"/>
        <scheme val="minor"/>
      </rPr>
      <t xml:space="preserve"> / L diesel</t>
    </r>
  </si>
  <si>
    <r>
      <t>Diesel combustion N</t>
    </r>
    <r>
      <rPr>
        <vertAlign val="subscript"/>
        <sz val="9"/>
        <color theme="1"/>
        <rFont val="Calibri"/>
        <family val="2"/>
        <scheme val="minor"/>
      </rPr>
      <t>2</t>
    </r>
    <r>
      <rPr>
        <sz val="9"/>
        <color theme="1"/>
        <rFont val="Calibri"/>
        <family val="2"/>
        <scheme val="minor"/>
      </rPr>
      <t>O emissions factor</t>
    </r>
  </si>
  <si>
    <r>
      <t>kg N</t>
    </r>
    <r>
      <rPr>
        <vertAlign val="subscript"/>
        <sz val="9"/>
        <color theme="1"/>
        <rFont val="Calibri"/>
        <family val="2"/>
        <scheme val="minor"/>
      </rPr>
      <t>2</t>
    </r>
    <r>
      <rPr>
        <sz val="9"/>
        <color theme="1"/>
        <rFont val="Calibri"/>
        <family val="2"/>
        <scheme val="minor"/>
      </rPr>
      <t>O / L diesel</t>
    </r>
  </si>
  <si>
    <r>
      <t>Diesel combustion CO</t>
    </r>
    <r>
      <rPr>
        <vertAlign val="subscript"/>
        <sz val="9"/>
        <color theme="1"/>
        <rFont val="Calibri"/>
        <family val="2"/>
        <scheme val="minor"/>
      </rPr>
      <t>2</t>
    </r>
    <r>
      <rPr>
        <sz val="9"/>
        <color theme="1"/>
        <rFont val="Calibri"/>
        <family val="2"/>
        <scheme val="minor"/>
      </rPr>
      <t xml:space="preserve"> emissions</t>
    </r>
  </si>
  <si>
    <r>
      <t>Derived from the diesel combustion CO</t>
    </r>
    <r>
      <rPr>
        <vertAlign val="subscript"/>
        <sz val="9"/>
        <color theme="1"/>
        <rFont val="Calibri"/>
        <family val="2"/>
        <scheme val="minor"/>
      </rPr>
      <t>2</t>
    </r>
    <r>
      <rPr>
        <sz val="9"/>
        <color theme="1"/>
        <rFont val="Calibri"/>
        <family val="2"/>
        <scheme val="minor"/>
      </rPr>
      <t xml:space="preserve"> emissions factor and the diesel usage</t>
    </r>
  </si>
  <si>
    <r>
      <t>Diesel combustion CH</t>
    </r>
    <r>
      <rPr>
        <vertAlign val="subscript"/>
        <sz val="9"/>
        <color theme="1"/>
        <rFont val="Calibri"/>
        <family val="2"/>
        <scheme val="minor"/>
      </rPr>
      <t>4</t>
    </r>
    <r>
      <rPr>
        <sz val="9"/>
        <color theme="1"/>
        <rFont val="Calibri"/>
        <family val="2"/>
        <scheme val="minor"/>
      </rPr>
      <t xml:space="preserve"> emissions</t>
    </r>
  </si>
  <si>
    <r>
      <t>Derived from the diesel combustion CH</t>
    </r>
    <r>
      <rPr>
        <vertAlign val="subscript"/>
        <sz val="9"/>
        <color theme="1"/>
        <rFont val="Calibri"/>
        <family val="2"/>
        <scheme val="minor"/>
      </rPr>
      <t>4</t>
    </r>
    <r>
      <rPr>
        <sz val="9"/>
        <color theme="1"/>
        <rFont val="Calibri"/>
        <family val="2"/>
        <scheme val="minor"/>
      </rPr>
      <t xml:space="preserve"> emissions factor and the diesel usage</t>
    </r>
  </si>
  <si>
    <r>
      <t>Diesel combustion N</t>
    </r>
    <r>
      <rPr>
        <vertAlign val="subscript"/>
        <sz val="9"/>
        <color theme="1"/>
        <rFont val="Calibri"/>
        <family val="2"/>
        <scheme val="minor"/>
      </rPr>
      <t>2</t>
    </r>
    <r>
      <rPr>
        <sz val="9"/>
        <color theme="1"/>
        <rFont val="Calibri"/>
        <family val="2"/>
        <scheme val="minor"/>
      </rPr>
      <t>O emissions</t>
    </r>
  </si>
  <si>
    <r>
      <t>Derived from the diesel combustion N</t>
    </r>
    <r>
      <rPr>
        <vertAlign val="subscript"/>
        <sz val="9"/>
        <color theme="1"/>
        <rFont val="Calibri"/>
        <family val="2"/>
        <scheme val="minor"/>
      </rPr>
      <t>2</t>
    </r>
    <r>
      <rPr>
        <sz val="9"/>
        <color theme="1"/>
        <rFont val="Calibri"/>
        <family val="2"/>
        <scheme val="minor"/>
      </rPr>
      <t>O emissions factor and the diesel usage</t>
    </r>
  </si>
  <si>
    <r>
      <t>kg natural gas / kg CO</t>
    </r>
    <r>
      <rPr>
        <vertAlign val="subscript"/>
        <sz val="9"/>
        <color theme="1"/>
        <rFont val="Calibri"/>
        <family val="2"/>
        <scheme val="minor"/>
      </rPr>
      <t>2</t>
    </r>
    <r>
      <rPr>
        <sz val="9"/>
        <color theme="1"/>
        <rFont val="Calibri"/>
        <family val="2"/>
        <scheme val="minor"/>
      </rPr>
      <t xml:space="preserve"> for reinjection</t>
    </r>
  </si>
  <si>
    <r>
      <t>CO</t>
    </r>
    <r>
      <rPr>
        <vertAlign val="subscript"/>
        <sz val="9"/>
        <color theme="1"/>
        <rFont val="Calibri"/>
        <family val="2"/>
        <scheme val="minor"/>
      </rPr>
      <t>2</t>
    </r>
    <r>
      <rPr>
        <sz val="9"/>
        <color theme="1"/>
        <rFont val="Calibri"/>
        <family val="2"/>
        <scheme val="minor"/>
      </rPr>
      <t xml:space="preserve"> for reinjection gas</t>
    </r>
  </si>
  <si>
    <r>
      <t>Derived from the CO</t>
    </r>
    <r>
      <rPr>
        <vertAlign val="subscript"/>
        <sz val="9"/>
        <color theme="1"/>
        <rFont val="Calibri"/>
        <family val="2"/>
        <scheme val="minor"/>
      </rPr>
      <t>2</t>
    </r>
    <r>
      <rPr>
        <sz val="9"/>
        <color theme="1"/>
        <rFont val="Calibri"/>
        <family val="2"/>
        <scheme val="minor"/>
      </rPr>
      <t xml:space="preserve"> produced (recycled)</t>
    </r>
  </si>
  <si>
    <r>
      <t>Derived from the natural gas use rate and the kg of CO</t>
    </r>
    <r>
      <rPr>
        <vertAlign val="subscript"/>
        <sz val="9"/>
        <color theme="1"/>
        <rFont val="Calibri"/>
        <family val="2"/>
        <scheme val="minor"/>
      </rPr>
      <t>2</t>
    </r>
    <r>
      <rPr>
        <sz val="9"/>
        <color theme="1"/>
        <rFont val="Calibri"/>
        <family val="2"/>
        <scheme val="minor"/>
      </rPr>
      <t xml:space="preserve"> for reinjection</t>
    </r>
  </si>
  <si>
    <r>
      <t>lb CO</t>
    </r>
    <r>
      <rPr>
        <vertAlign val="subscript"/>
        <sz val="9"/>
        <color theme="1"/>
        <rFont val="Calibri"/>
        <family val="2"/>
        <scheme val="minor"/>
      </rPr>
      <t>2</t>
    </r>
    <r>
      <rPr>
        <sz val="9"/>
        <color theme="1"/>
        <rFont val="Calibri"/>
        <family val="2"/>
        <scheme val="minor"/>
      </rPr>
      <t xml:space="preserve"> / Btu</t>
    </r>
  </si>
  <si>
    <r>
      <t>lb CO</t>
    </r>
    <r>
      <rPr>
        <vertAlign val="subscript"/>
        <sz val="9"/>
        <color theme="1"/>
        <rFont val="Calibri"/>
        <family val="2"/>
        <scheme val="minor"/>
      </rPr>
      <t>2</t>
    </r>
  </si>
  <si>
    <r>
      <t>kg purchased natural gas / kg CO</t>
    </r>
    <r>
      <rPr>
        <vertAlign val="subscript"/>
        <sz val="9"/>
        <color theme="1"/>
        <rFont val="Calibri"/>
        <family val="2"/>
        <scheme val="minor"/>
      </rPr>
      <t>2</t>
    </r>
    <r>
      <rPr>
        <sz val="9"/>
        <color theme="1"/>
        <rFont val="Calibri"/>
        <family val="2"/>
        <scheme val="minor"/>
      </rPr>
      <t xml:space="preserve"> for reinjection</t>
    </r>
  </si>
  <si>
    <r>
      <t>Derived from the purchased natural gas rate and the kg of CO</t>
    </r>
    <r>
      <rPr>
        <vertAlign val="subscript"/>
        <sz val="9"/>
        <color theme="1"/>
        <rFont val="Calibri"/>
        <family val="2"/>
        <scheme val="minor"/>
      </rPr>
      <t>2</t>
    </r>
    <r>
      <rPr>
        <sz val="9"/>
        <color theme="1"/>
        <rFont val="Calibri"/>
        <family val="2"/>
        <scheme val="minor"/>
      </rPr>
      <t xml:space="preserve"> for reinjection</t>
    </r>
  </si>
  <si>
    <r>
      <t>Ethane (C</t>
    </r>
    <r>
      <rPr>
        <vertAlign val="subscript"/>
        <sz val="9"/>
        <color theme="1"/>
        <rFont val="Calibri"/>
        <family val="2"/>
        <scheme val="minor"/>
      </rPr>
      <t>2</t>
    </r>
    <r>
      <rPr>
        <sz val="9"/>
        <color theme="1"/>
        <rFont val="Calibri"/>
        <family val="2"/>
        <scheme val="minor"/>
      </rPr>
      <t>H</t>
    </r>
    <r>
      <rPr>
        <vertAlign val="subscript"/>
        <sz val="9"/>
        <color theme="1"/>
        <rFont val="Calibri"/>
        <family val="2"/>
        <scheme val="minor"/>
      </rPr>
      <t>6</t>
    </r>
    <r>
      <rPr>
        <sz val="9"/>
        <color theme="1"/>
        <rFont val="Calibri"/>
        <family val="2"/>
        <scheme val="minor"/>
      </rPr>
      <t>) recovery rate</t>
    </r>
  </si>
  <si>
    <r>
      <t>kg C</t>
    </r>
    <r>
      <rPr>
        <vertAlign val="subscript"/>
        <sz val="9"/>
        <color theme="1"/>
        <rFont val="Calibri"/>
        <family val="2"/>
        <scheme val="minor"/>
      </rPr>
      <t>2</t>
    </r>
    <r>
      <rPr>
        <sz val="9"/>
        <color theme="1"/>
        <rFont val="Calibri"/>
        <family val="2"/>
        <scheme val="minor"/>
      </rPr>
      <t xml:space="preserve"> / kg CO</t>
    </r>
    <r>
      <rPr>
        <vertAlign val="subscript"/>
        <sz val="9"/>
        <color theme="1"/>
        <rFont val="Calibri"/>
        <family val="2"/>
        <scheme val="minor"/>
      </rPr>
      <t>2</t>
    </r>
    <r>
      <rPr>
        <sz val="9"/>
        <color theme="1"/>
        <rFont val="Calibri"/>
        <family val="2"/>
        <scheme val="minor"/>
      </rPr>
      <t xml:space="preserve"> for reinjection</t>
    </r>
  </si>
  <si>
    <r>
      <t>Propane (C</t>
    </r>
    <r>
      <rPr>
        <vertAlign val="subscript"/>
        <sz val="9"/>
        <color theme="1"/>
        <rFont val="Calibri"/>
        <family val="2"/>
        <scheme val="minor"/>
      </rPr>
      <t>3</t>
    </r>
    <r>
      <rPr>
        <sz val="9"/>
        <color theme="1"/>
        <rFont val="Calibri"/>
        <family val="2"/>
        <scheme val="minor"/>
      </rPr>
      <t>H</t>
    </r>
    <r>
      <rPr>
        <vertAlign val="subscript"/>
        <sz val="9"/>
        <color theme="1"/>
        <rFont val="Calibri"/>
        <family val="2"/>
        <scheme val="minor"/>
      </rPr>
      <t>8</t>
    </r>
    <r>
      <rPr>
        <sz val="9"/>
        <color theme="1"/>
        <rFont val="Calibri"/>
        <family val="2"/>
        <scheme val="minor"/>
      </rPr>
      <t>) recovery rate</t>
    </r>
  </si>
  <si>
    <r>
      <t>kg C</t>
    </r>
    <r>
      <rPr>
        <vertAlign val="subscript"/>
        <sz val="9"/>
        <color theme="1"/>
        <rFont val="Calibri"/>
        <family val="2"/>
        <scheme val="minor"/>
      </rPr>
      <t>3</t>
    </r>
    <r>
      <rPr>
        <sz val="9"/>
        <color theme="1"/>
        <rFont val="Calibri"/>
        <family val="2"/>
        <scheme val="minor"/>
      </rPr>
      <t xml:space="preserve"> / kg CO</t>
    </r>
    <r>
      <rPr>
        <vertAlign val="subscript"/>
        <sz val="9"/>
        <color theme="1"/>
        <rFont val="Calibri"/>
        <family val="2"/>
        <scheme val="minor"/>
      </rPr>
      <t>2</t>
    </r>
    <r>
      <rPr>
        <sz val="9"/>
        <color theme="1"/>
        <rFont val="Calibri"/>
        <family val="2"/>
        <scheme val="minor"/>
      </rPr>
      <t xml:space="preserve"> for reinjection</t>
    </r>
  </si>
  <si>
    <r>
      <t>Butane (C</t>
    </r>
    <r>
      <rPr>
        <vertAlign val="subscript"/>
        <sz val="9"/>
        <color theme="1"/>
        <rFont val="Calibri"/>
        <family val="2"/>
        <scheme val="minor"/>
      </rPr>
      <t>4</t>
    </r>
    <r>
      <rPr>
        <sz val="9"/>
        <color theme="1"/>
        <rFont val="Calibri"/>
        <family val="2"/>
        <scheme val="minor"/>
      </rPr>
      <t>H</t>
    </r>
    <r>
      <rPr>
        <vertAlign val="subscript"/>
        <sz val="9"/>
        <color theme="1"/>
        <rFont val="Calibri"/>
        <family val="2"/>
        <scheme val="minor"/>
      </rPr>
      <t>10</t>
    </r>
    <r>
      <rPr>
        <sz val="9"/>
        <color theme="1"/>
        <rFont val="Calibri"/>
        <family val="2"/>
        <scheme val="minor"/>
      </rPr>
      <t>) recovery rate</t>
    </r>
  </si>
  <si>
    <r>
      <t>kg C</t>
    </r>
    <r>
      <rPr>
        <vertAlign val="subscript"/>
        <sz val="9"/>
        <color theme="1"/>
        <rFont val="Calibri"/>
        <family val="2"/>
        <scheme val="minor"/>
      </rPr>
      <t>4</t>
    </r>
    <r>
      <rPr>
        <sz val="9"/>
        <color theme="1"/>
        <rFont val="Calibri"/>
        <family val="2"/>
        <scheme val="minor"/>
      </rPr>
      <t xml:space="preserve"> / kg CO</t>
    </r>
    <r>
      <rPr>
        <vertAlign val="subscript"/>
        <sz val="9"/>
        <color theme="1"/>
        <rFont val="Calibri"/>
        <family val="2"/>
        <scheme val="minor"/>
      </rPr>
      <t>2</t>
    </r>
    <r>
      <rPr>
        <sz val="9"/>
        <color theme="1"/>
        <rFont val="Calibri"/>
        <family val="2"/>
        <scheme val="minor"/>
      </rPr>
      <t xml:space="preserve"> for reinjection</t>
    </r>
  </si>
  <si>
    <r>
      <t>Isopentane (C</t>
    </r>
    <r>
      <rPr>
        <vertAlign val="subscript"/>
        <sz val="9"/>
        <color theme="1"/>
        <rFont val="Calibri"/>
        <family val="2"/>
        <scheme val="minor"/>
      </rPr>
      <t>5</t>
    </r>
    <r>
      <rPr>
        <sz val="9"/>
        <color theme="1"/>
        <rFont val="Calibri"/>
        <family val="2"/>
        <scheme val="minor"/>
      </rPr>
      <t>H</t>
    </r>
    <r>
      <rPr>
        <vertAlign val="subscript"/>
        <sz val="9"/>
        <color theme="1"/>
        <rFont val="Calibri"/>
        <family val="2"/>
        <scheme val="minor"/>
      </rPr>
      <t>12</t>
    </r>
    <r>
      <rPr>
        <sz val="9"/>
        <color theme="1"/>
        <rFont val="Calibri"/>
        <family val="2"/>
        <scheme val="minor"/>
      </rPr>
      <t>+) recovery rate</t>
    </r>
  </si>
  <si>
    <r>
      <t>kg iC</t>
    </r>
    <r>
      <rPr>
        <vertAlign val="subscript"/>
        <sz val="9"/>
        <color theme="1"/>
        <rFont val="Calibri"/>
        <family val="2"/>
        <scheme val="minor"/>
      </rPr>
      <t>5</t>
    </r>
    <r>
      <rPr>
        <sz val="9"/>
        <color theme="1"/>
        <rFont val="Calibri"/>
        <family val="2"/>
        <scheme val="minor"/>
      </rPr>
      <t xml:space="preserve"> / kg CO</t>
    </r>
    <r>
      <rPr>
        <vertAlign val="subscript"/>
        <sz val="9"/>
        <color theme="1"/>
        <rFont val="Calibri"/>
        <family val="2"/>
        <scheme val="minor"/>
      </rPr>
      <t>2</t>
    </r>
    <r>
      <rPr>
        <sz val="9"/>
        <color theme="1"/>
        <rFont val="Calibri"/>
        <family val="2"/>
        <scheme val="minor"/>
      </rPr>
      <t xml:space="preserve"> for reinjection</t>
    </r>
  </si>
  <si>
    <r>
      <t>Ethane (C</t>
    </r>
    <r>
      <rPr>
        <vertAlign val="subscript"/>
        <sz val="9"/>
        <color theme="1"/>
        <rFont val="Calibri"/>
        <family val="2"/>
        <scheme val="minor"/>
      </rPr>
      <t>2</t>
    </r>
    <r>
      <rPr>
        <sz val="9"/>
        <color theme="1"/>
        <rFont val="Calibri"/>
        <family val="2"/>
        <scheme val="minor"/>
      </rPr>
      <t>H</t>
    </r>
    <r>
      <rPr>
        <vertAlign val="subscript"/>
        <sz val="9"/>
        <color theme="1"/>
        <rFont val="Calibri"/>
        <family val="2"/>
        <scheme val="minor"/>
      </rPr>
      <t>6</t>
    </r>
    <r>
      <rPr>
        <sz val="9"/>
        <color theme="1"/>
        <rFont val="Calibri"/>
        <family val="2"/>
        <scheme val="minor"/>
      </rPr>
      <t>) recovered</t>
    </r>
  </si>
  <si>
    <r>
      <t>kg C</t>
    </r>
    <r>
      <rPr>
        <vertAlign val="subscript"/>
        <sz val="9"/>
        <color theme="1"/>
        <rFont val="Calibri"/>
        <family val="2"/>
        <scheme val="minor"/>
      </rPr>
      <t>2</t>
    </r>
    <r>
      <rPr>
        <sz val="10"/>
        <color theme="1"/>
        <rFont val="Calibri"/>
        <family val="2"/>
        <scheme val="minor"/>
      </rPr>
      <t/>
    </r>
  </si>
  <si>
    <r>
      <t>Derived from the C</t>
    </r>
    <r>
      <rPr>
        <vertAlign val="subscript"/>
        <sz val="9"/>
        <color theme="1"/>
        <rFont val="Calibri"/>
        <family val="2"/>
        <scheme val="minor"/>
      </rPr>
      <t>2</t>
    </r>
    <r>
      <rPr>
        <sz val="9"/>
        <color theme="1"/>
        <rFont val="Calibri"/>
        <family val="2"/>
        <scheme val="minor"/>
      </rPr>
      <t xml:space="preserve"> production rate and the kg of CO</t>
    </r>
    <r>
      <rPr>
        <vertAlign val="subscript"/>
        <sz val="9"/>
        <color theme="1"/>
        <rFont val="Calibri"/>
        <family val="2"/>
        <scheme val="minor"/>
      </rPr>
      <t>2</t>
    </r>
    <r>
      <rPr>
        <sz val="9"/>
        <color theme="1"/>
        <rFont val="Calibri"/>
        <family val="2"/>
        <scheme val="minor"/>
      </rPr>
      <t xml:space="preserve"> ready for reinjection</t>
    </r>
  </si>
  <si>
    <r>
      <t>Propane (C</t>
    </r>
    <r>
      <rPr>
        <vertAlign val="subscript"/>
        <sz val="9"/>
        <color theme="1"/>
        <rFont val="Calibri"/>
        <family val="2"/>
        <scheme val="minor"/>
      </rPr>
      <t>3</t>
    </r>
    <r>
      <rPr>
        <sz val="9"/>
        <color theme="1"/>
        <rFont val="Calibri"/>
        <family val="2"/>
        <scheme val="minor"/>
      </rPr>
      <t>H</t>
    </r>
    <r>
      <rPr>
        <vertAlign val="subscript"/>
        <sz val="9"/>
        <color theme="1"/>
        <rFont val="Calibri"/>
        <family val="2"/>
        <scheme val="minor"/>
      </rPr>
      <t>8</t>
    </r>
    <r>
      <rPr>
        <sz val="9"/>
        <color theme="1"/>
        <rFont val="Calibri"/>
        <family val="2"/>
        <scheme val="minor"/>
      </rPr>
      <t>) recovered</t>
    </r>
  </si>
  <si>
    <r>
      <t>kg C</t>
    </r>
    <r>
      <rPr>
        <vertAlign val="subscript"/>
        <sz val="9"/>
        <color theme="1"/>
        <rFont val="Calibri"/>
        <family val="2"/>
        <scheme val="minor"/>
      </rPr>
      <t>3</t>
    </r>
  </si>
  <si>
    <r>
      <t>Derived from the C</t>
    </r>
    <r>
      <rPr>
        <vertAlign val="subscript"/>
        <sz val="9"/>
        <color theme="1"/>
        <rFont val="Calibri"/>
        <family val="2"/>
        <scheme val="minor"/>
      </rPr>
      <t>3</t>
    </r>
    <r>
      <rPr>
        <sz val="9"/>
        <color theme="1"/>
        <rFont val="Calibri"/>
        <family val="2"/>
        <scheme val="minor"/>
      </rPr>
      <t xml:space="preserve"> production rate and the kg of CO</t>
    </r>
    <r>
      <rPr>
        <vertAlign val="subscript"/>
        <sz val="9"/>
        <color theme="1"/>
        <rFont val="Calibri"/>
        <family val="2"/>
        <scheme val="minor"/>
      </rPr>
      <t>2</t>
    </r>
    <r>
      <rPr>
        <sz val="9"/>
        <color theme="1"/>
        <rFont val="Calibri"/>
        <family val="2"/>
        <scheme val="minor"/>
      </rPr>
      <t xml:space="preserve"> ready for reinjection</t>
    </r>
  </si>
  <si>
    <r>
      <t>Butane (C</t>
    </r>
    <r>
      <rPr>
        <vertAlign val="subscript"/>
        <sz val="9"/>
        <color theme="1"/>
        <rFont val="Calibri"/>
        <family val="2"/>
        <scheme val="minor"/>
      </rPr>
      <t>4</t>
    </r>
    <r>
      <rPr>
        <sz val="9"/>
        <color theme="1"/>
        <rFont val="Calibri"/>
        <family val="2"/>
        <scheme val="minor"/>
      </rPr>
      <t>H</t>
    </r>
    <r>
      <rPr>
        <vertAlign val="subscript"/>
        <sz val="9"/>
        <color theme="1"/>
        <rFont val="Calibri"/>
        <family val="2"/>
        <scheme val="minor"/>
      </rPr>
      <t>10</t>
    </r>
    <r>
      <rPr>
        <sz val="9"/>
        <color theme="1"/>
        <rFont val="Calibri"/>
        <family val="2"/>
        <scheme val="minor"/>
      </rPr>
      <t>) recovered</t>
    </r>
  </si>
  <si>
    <r>
      <t>kg C</t>
    </r>
    <r>
      <rPr>
        <vertAlign val="subscript"/>
        <sz val="9"/>
        <color theme="1"/>
        <rFont val="Calibri"/>
        <family val="2"/>
        <scheme val="minor"/>
      </rPr>
      <t>4</t>
    </r>
  </si>
  <si>
    <r>
      <t>Derived from the C</t>
    </r>
    <r>
      <rPr>
        <vertAlign val="subscript"/>
        <sz val="9"/>
        <color theme="1"/>
        <rFont val="Calibri"/>
        <family val="2"/>
        <scheme val="minor"/>
      </rPr>
      <t>4</t>
    </r>
    <r>
      <rPr>
        <sz val="9"/>
        <color theme="1"/>
        <rFont val="Calibri"/>
        <family val="2"/>
        <scheme val="minor"/>
      </rPr>
      <t xml:space="preserve"> production rate and the kg of CO</t>
    </r>
    <r>
      <rPr>
        <vertAlign val="subscript"/>
        <sz val="9"/>
        <color theme="1"/>
        <rFont val="Calibri"/>
        <family val="2"/>
        <scheme val="minor"/>
      </rPr>
      <t>2</t>
    </r>
    <r>
      <rPr>
        <sz val="9"/>
        <color theme="1"/>
        <rFont val="Calibri"/>
        <family val="2"/>
        <scheme val="minor"/>
      </rPr>
      <t xml:space="preserve"> ready for reinjection</t>
    </r>
  </si>
  <si>
    <r>
      <t>Isopentane (C</t>
    </r>
    <r>
      <rPr>
        <vertAlign val="subscript"/>
        <sz val="9"/>
        <color theme="1"/>
        <rFont val="Calibri"/>
        <family val="2"/>
        <scheme val="minor"/>
      </rPr>
      <t>5</t>
    </r>
    <r>
      <rPr>
        <sz val="9"/>
        <color theme="1"/>
        <rFont val="Calibri"/>
        <family val="2"/>
        <scheme val="minor"/>
      </rPr>
      <t>H</t>
    </r>
    <r>
      <rPr>
        <vertAlign val="subscript"/>
        <sz val="9"/>
        <color theme="1"/>
        <rFont val="Calibri"/>
        <family val="2"/>
        <scheme val="minor"/>
      </rPr>
      <t>12</t>
    </r>
    <r>
      <rPr>
        <sz val="9"/>
        <color theme="1"/>
        <rFont val="Calibri"/>
        <family val="2"/>
        <scheme val="minor"/>
      </rPr>
      <t>+) recovered</t>
    </r>
  </si>
  <si>
    <r>
      <t>kg iC</t>
    </r>
    <r>
      <rPr>
        <vertAlign val="subscript"/>
        <sz val="9"/>
        <color theme="1"/>
        <rFont val="Calibri"/>
        <family val="2"/>
        <scheme val="minor"/>
      </rPr>
      <t>5</t>
    </r>
    <r>
      <rPr>
        <sz val="9"/>
        <color theme="1"/>
        <rFont val="Calibri"/>
        <family val="2"/>
        <scheme val="minor"/>
      </rPr>
      <t>+</t>
    </r>
  </si>
  <si>
    <r>
      <t>Derived from the iC</t>
    </r>
    <r>
      <rPr>
        <vertAlign val="subscript"/>
        <sz val="9"/>
        <color theme="1"/>
        <rFont val="Calibri"/>
        <family val="2"/>
        <scheme val="minor"/>
      </rPr>
      <t>5</t>
    </r>
    <r>
      <rPr>
        <sz val="9"/>
        <color theme="1"/>
        <rFont val="Calibri"/>
        <family val="2"/>
        <scheme val="minor"/>
      </rPr>
      <t>+ production rate and the kg of CO</t>
    </r>
    <r>
      <rPr>
        <vertAlign val="subscript"/>
        <sz val="9"/>
        <color theme="1"/>
        <rFont val="Calibri"/>
        <family val="2"/>
        <scheme val="minor"/>
      </rPr>
      <t>2</t>
    </r>
    <r>
      <rPr>
        <sz val="9"/>
        <color theme="1"/>
        <rFont val="Calibri"/>
        <family val="2"/>
        <scheme val="minor"/>
      </rPr>
      <t xml:space="preserve"> ready for reinjection</t>
    </r>
  </si>
  <si>
    <r>
      <t>Ethane (C</t>
    </r>
    <r>
      <rPr>
        <vertAlign val="subscript"/>
        <sz val="9"/>
        <color theme="1"/>
        <rFont val="Calibri"/>
        <family val="2"/>
        <scheme val="minor"/>
      </rPr>
      <t>2</t>
    </r>
    <r>
      <rPr>
        <sz val="9"/>
        <color theme="1"/>
        <rFont val="Calibri"/>
        <family val="2"/>
        <scheme val="minor"/>
      </rPr>
      <t>H</t>
    </r>
    <r>
      <rPr>
        <vertAlign val="subscript"/>
        <sz val="9"/>
        <color theme="1"/>
        <rFont val="Calibri"/>
        <family val="2"/>
        <scheme val="minor"/>
      </rPr>
      <t>6</t>
    </r>
    <r>
      <rPr>
        <sz val="9"/>
        <color theme="1"/>
        <rFont val="Calibri"/>
        <family val="2"/>
        <scheme val="minor"/>
      </rPr>
      <t>) density</t>
    </r>
  </si>
  <si>
    <r>
      <t>Propane (C</t>
    </r>
    <r>
      <rPr>
        <vertAlign val="subscript"/>
        <sz val="9"/>
        <color theme="1"/>
        <rFont val="Calibri"/>
        <family val="2"/>
        <scheme val="minor"/>
      </rPr>
      <t>3</t>
    </r>
    <r>
      <rPr>
        <sz val="9"/>
        <color theme="1"/>
        <rFont val="Calibri"/>
        <family val="2"/>
        <scheme val="minor"/>
      </rPr>
      <t>H</t>
    </r>
    <r>
      <rPr>
        <vertAlign val="subscript"/>
        <sz val="9"/>
        <color theme="1"/>
        <rFont val="Calibri"/>
        <family val="2"/>
        <scheme val="minor"/>
      </rPr>
      <t>8</t>
    </r>
    <r>
      <rPr>
        <sz val="9"/>
        <color theme="1"/>
        <rFont val="Calibri"/>
        <family val="2"/>
        <scheme val="minor"/>
      </rPr>
      <t>) density</t>
    </r>
  </si>
  <si>
    <r>
      <t>Butane (C</t>
    </r>
    <r>
      <rPr>
        <vertAlign val="subscript"/>
        <sz val="9"/>
        <color theme="1"/>
        <rFont val="Calibri"/>
        <family val="2"/>
        <scheme val="minor"/>
      </rPr>
      <t>4</t>
    </r>
    <r>
      <rPr>
        <sz val="9"/>
        <color theme="1"/>
        <rFont val="Calibri"/>
        <family val="2"/>
        <scheme val="minor"/>
      </rPr>
      <t>H</t>
    </r>
    <r>
      <rPr>
        <vertAlign val="subscript"/>
        <sz val="9"/>
        <color theme="1"/>
        <rFont val="Calibri"/>
        <family val="2"/>
        <scheme val="minor"/>
      </rPr>
      <t>10</t>
    </r>
    <r>
      <rPr>
        <sz val="9"/>
        <color theme="1"/>
        <rFont val="Calibri"/>
        <family val="2"/>
        <scheme val="minor"/>
      </rPr>
      <t>) density</t>
    </r>
  </si>
  <si>
    <r>
      <t>Isopentane (C</t>
    </r>
    <r>
      <rPr>
        <vertAlign val="subscript"/>
        <sz val="9"/>
        <color theme="1"/>
        <rFont val="Calibri"/>
        <family val="2"/>
        <scheme val="minor"/>
      </rPr>
      <t>5</t>
    </r>
    <r>
      <rPr>
        <sz val="9"/>
        <color theme="1"/>
        <rFont val="Calibri"/>
        <family val="2"/>
        <scheme val="minor"/>
      </rPr>
      <t>H</t>
    </r>
    <r>
      <rPr>
        <vertAlign val="subscript"/>
        <sz val="9"/>
        <color theme="1"/>
        <rFont val="Calibri"/>
        <family val="2"/>
        <scheme val="minor"/>
      </rPr>
      <t>12</t>
    </r>
    <r>
      <rPr>
        <sz val="9"/>
        <color theme="1"/>
        <rFont val="Calibri"/>
        <family val="2"/>
        <scheme val="minor"/>
      </rPr>
      <t>+) density</t>
    </r>
  </si>
  <si>
    <r>
      <t>Derived from the sum of hydrocarbon gas and CO</t>
    </r>
    <r>
      <rPr>
        <vertAlign val="subscript"/>
        <sz val="9"/>
        <color theme="1"/>
        <rFont val="Calibri"/>
        <family val="2"/>
        <scheme val="minor"/>
      </rPr>
      <t>2</t>
    </r>
    <r>
      <rPr>
        <sz val="9"/>
        <color theme="1"/>
        <rFont val="Calibri"/>
        <family val="2"/>
        <scheme val="minor"/>
      </rPr>
      <t xml:space="preserve"> produced (recycled)</t>
    </r>
  </si>
  <si>
    <r>
      <t>Derived from the electricity rate per unit of EOR reinjection gas and the kg of EOR reinjection gas (CO</t>
    </r>
    <r>
      <rPr>
        <vertAlign val="subscript"/>
        <sz val="9"/>
        <color theme="1"/>
        <rFont val="Calibri"/>
        <family val="2"/>
        <scheme val="minor"/>
      </rPr>
      <t>2</t>
    </r>
    <r>
      <rPr>
        <sz val="9"/>
        <color theme="1"/>
        <rFont val="Calibri"/>
        <family val="2"/>
        <scheme val="minor"/>
      </rPr>
      <t xml:space="preserve"> injected)</t>
    </r>
  </si>
  <si>
    <r>
      <t>kg CH</t>
    </r>
    <r>
      <rPr>
        <vertAlign val="subscript"/>
        <sz val="9"/>
        <color theme="1"/>
        <rFont val="Calibri"/>
        <family val="2"/>
        <scheme val="minor"/>
      </rPr>
      <t>2</t>
    </r>
  </si>
  <si>
    <r>
      <rPr>
        <i/>
        <sz val="9"/>
        <color theme="1"/>
        <rFont val="Calibri"/>
        <family val="2"/>
        <scheme val="minor"/>
      </rPr>
      <t>n-</t>
    </r>
    <r>
      <rPr>
        <sz val="9"/>
        <color theme="1"/>
        <rFont val="Calibri"/>
        <family val="2"/>
        <scheme val="minor"/>
      </rPr>
      <t>Butane (C</t>
    </r>
    <r>
      <rPr>
        <vertAlign val="subscript"/>
        <sz val="9"/>
        <color theme="1"/>
        <rFont val="Calibri"/>
        <family val="2"/>
        <scheme val="minor"/>
      </rPr>
      <t>4</t>
    </r>
    <r>
      <rPr>
        <sz val="9"/>
        <color theme="1"/>
        <rFont val="Calibri"/>
        <family val="2"/>
        <scheme val="minor"/>
      </rPr>
      <t>H</t>
    </r>
    <r>
      <rPr>
        <vertAlign val="subscript"/>
        <sz val="9"/>
        <color theme="1"/>
        <rFont val="Calibri"/>
        <family val="2"/>
        <scheme val="minor"/>
      </rPr>
      <t>10</t>
    </r>
    <r>
      <rPr>
        <sz val="9"/>
        <color theme="1"/>
        <rFont val="Calibri"/>
        <family val="2"/>
        <scheme val="minor"/>
      </rPr>
      <t>) recovery rate</t>
    </r>
  </si>
  <si>
    <r>
      <t>kg C</t>
    </r>
    <r>
      <rPr>
        <vertAlign val="subscript"/>
        <sz val="9"/>
        <color theme="1"/>
        <rFont val="Calibri"/>
        <family val="2"/>
        <scheme val="minor"/>
      </rPr>
      <t>4</t>
    </r>
    <r>
      <rPr>
        <sz val="9"/>
        <color theme="1"/>
        <rFont val="Calibri"/>
        <family val="2"/>
        <scheme val="minor"/>
      </rPr>
      <t xml:space="preserve"> / kg EOR reinjection gas</t>
    </r>
  </si>
  <si>
    <r>
      <t>Pentane (C</t>
    </r>
    <r>
      <rPr>
        <vertAlign val="subscript"/>
        <sz val="9"/>
        <color theme="1"/>
        <rFont val="Calibri"/>
        <family val="2"/>
        <scheme val="minor"/>
      </rPr>
      <t>5</t>
    </r>
    <r>
      <rPr>
        <sz val="9"/>
        <color theme="1"/>
        <rFont val="Calibri"/>
        <family val="2"/>
        <scheme val="minor"/>
      </rPr>
      <t>H</t>
    </r>
    <r>
      <rPr>
        <vertAlign val="subscript"/>
        <sz val="9"/>
        <color theme="1"/>
        <rFont val="Calibri"/>
        <family val="2"/>
        <scheme val="minor"/>
      </rPr>
      <t>12</t>
    </r>
    <r>
      <rPr>
        <sz val="9"/>
        <color theme="1"/>
        <rFont val="Calibri"/>
        <family val="2"/>
        <scheme val="minor"/>
      </rPr>
      <t>) recovery rate</t>
    </r>
  </si>
  <si>
    <r>
      <t>kg C</t>
    </r>
    <r>
      <rPr>
        <vertAlign val="subscript"/>
        <sz val="9"/>
        <color theme="1"/>
        <rFont val="Calibri"/>
        <family val="2"/>
        <scheme val="minor"/>
      </rPr>
      <t>5</t>
    </r>
    <r>
      <rPr>
        <sz val="9"/>
        <color theme="1"/>
        <rFont val="Calibri"/>
        <family val="2"/>
        <scheme val="minor"/>
      </rPr>
      <t xml:space="preserve"> / kg EOR reinjection gas</t>
    </r>
  </si>
  <si>
    <r>
      <rPr>
        <i/>
        <sz val="9"/>
        <color theme="1"/>
        <rFont val="Calibri"/>
        <family val="2"/>
        <scheme val="minor"/>
      </rPr>
      <t>n-</t>
    </r>
    <r>
      <rPr>
        <sz val="9"/>
        <color theme="1"/>
        <rFont val="Calibri"/>
        <family val="2"/>
        <scheme val="minor"/>
      </rPr>
      <t>Butane (C</t>
    </r>
    <r>
      <rPr>
        <vertAlign val="subscript"/>
        <sz val="9"/>
        <color theme="1"/>
        <rFont val="Calibri"/>
        <family val="2"/>
        <scheme val="minor"/>
      </rPr>
      <t>4</t>
    </r>
    <r>
      <rPr>
        <sz val="9"/>
        <color theme="1"/>
        <rFont val="Calibri"/>
        <family val="2"/>
        <scheme val="minor"/>
      </rPr>
      <t>H</t>
    </r>
    <r>
      <rPr>
        <vertAlign val="subscript"/>
        <sz val="9"/>
        <color theme="1"/>
        <rFont val="Calibri"/>
        <family val="2"/>
        <scheme val="minor"/>
      </rPr>
      <t>10</t>
    </r>
    <r>
      <rPr>
        <sz val="9"/>
        <color theme="1"/>
        <rFont val="Calibri"/>
        <family val="2"/>
        <scheme val="minor"/>
      </rPr>
      <t>) recovered</t>
    </r>
  </si>
  <si>
    <r>
      <t>Pentane (C</t>
    </r>
    <r>
      <rPr>
        <vertAlign val="subscript"/>
        <sz val="9"/>
        <color theme="1"/>
        <rFont val="Calibri"/>
        <family val="2"/>
        <scheme val="minor"/>
      </rPr>
      <t>5</t>
    </r>
    <r>
      <rPr>
        <sz val="9"/>
        <color theme="1"/>
        <rFont val="Calibri"/>
        <family val="2"/>
        <scheme val="minor"/>
      </rPr>
      <t>H</t>
    </r>
    <r>
      <rPr>
        <vertAlign val="subscript"/>
        <sz val="9"/>
        <color theme="1"/>
        <rFont val="Calibri"/>
        <family val="2"/>
        <scheme val="minor"/>
      </rPr>
      <t>12</t>
    </r>
    <r>
      <rPr>
        <sz val="9"/>
        <color theme="1"/>
        <rFont val="Calibri"/>
        <family val="2"/>
        <scheme val="minor"/>
      </rPr>
      <t>) recovered</t>
    </r>
  </si>
  <si>
    <r>
      <t>kg C</t>
    </r>
    <r>
      <rPr>
        <vertAlign val="subscript"/>
        <sz val="9"/>
        <color theme="1"/>
        <rFont val="Calibri"/>
        <family val="2"/>
        <scheme val="minor"/>
      </rPr>
      <t>5</t>
    </r>
  </si>
  <si>
    <r>
      <t>Propane (C</t>
    </r>
    <r>
      <rPr>
        <vertAlign val="subscript"/>
        <sz val="9"/>
        <color theme="1"/>
        <rFont val="Calibri"/>
        <family val="2"/>
        <scheme val="minor"/>
      </rPr>
      <t>3</t>
    </r>
    <r>
      <rPr>
        <sz val="9"/>
        <color theme="1"/>
        <rFont val="Calibri"/>
        <family val="2"/>
        <scheme val="minor"/>
      </rPr>
      <t>H</t>
    </r>
    <r>
      <rPr>
        <vertAlign val="subscript"/>
        <sz val="9"/>
        <color theme="1"/>
        <rFont val="Calibri"/>
        <family val="2"/>
        <scheme val="minor"/>
      </rPr>
      <t>8</t>
    </r>
    <r>
      <rPr>
        <sz val="9"/>
        <color theme="1"/>
        <rFont val="Calibri"/>
        <family val="2"/>
        <scheme val="minor"/>
      </rPr>
      <t>) energy content</t>
    </r>
  </si>
  <si>
    <r>
      <t>MJ / kg C</t>
    </r>
    <r>
      <rPr>
        <vertAlign val="subscript"/>
        <sz val="9"/>
        <color theme="1"/>
        <rFont val="Calibri"/>
        <family val="2"/>
        <scheme val="minor"/>
      </rPr>
      <t>3</t>
    </r>
  </si>
  <si>
    <r>
      <t>Butane (C</t>
    </r>
    <r>
      <rPr>
        <vertAlign val="subscript"/>
        <sz val="9"/>
        <color theme="1"/>
        <rFont val="Calibri"/>
        <family val="2"/>
        <scheme val="minor"/>
      </rPr>
      <t>4</t>
    </r>
    <r>
      <rPr>
        <sz val="9"/>
        <color theme="1"/>
        <rFont val="Calibri"/>
        <family val="2"/>
        <scheme val="minor"/>
      </rPr>
      <t>H</t>
    </r>
    <r>
      <rPr>
        <vertAlign val="subscript"/>
        <sz val="9"/>
        <color theme="1"/>
        <rFont val="Calibri"/>
        <family val="2"/>
        <scheme val="minor"/>
      </rPr>
      <t>10</t>
    </r>
    <r>
      <rPr>
        <sz val="9"/>
        <color theme="1"/>
        <rFont val="Calibri"/>
        <family val="2"/>
        <scheme val="minor"/>
      </rPr>
      <t>) energy content</t>
    </r>
  </si>
  <si>
    <r>
      <t>MJ / kg C</t>
    </r>
    <r>
      <rPr>
        <vertAlign val="subscript"/>
        <sz val="9"/>
        <color theme="1"/>
        <rFont val="Calibri"/>
        <family val="2"/>
        <scheme val="minor"/>
      </rPr>
      <t>4</t>
    </r>
  </si>
  <si>
    <r>
      <t>Pentane (C</t>
    </r>
    <r>
      <rPr>
        <vertAlign val="subscript"/>
        <sz val="9"/>
        <color theme="1"/>
        <rFont val="Calibri"/>
        <family val="2"/>
        <scheme val="minor"/>
      </rPr>
      <t>5</t>
    </r>
    <r>
      <rPr>
        <sz val="9"/>
        <color theme="1"/>
        <rFont val="Calibri"/>
        <family val="2"/>
        <scheme val="minor"/>
      </rPr>
      <t>H</t>
    </r>
    <r>
      <rPr>
        <vertAlign val="subscript"/>
        <sz val="9"/>
        <color theme="1"/>
        <rFont val="Calibri"/>
        <family val="2"/>
        <scheme val="minor"/>
      </rPr>
      <t>12</t>
    </r>
    <r>
      <rPr>
        <sz val="9"/>
        <color theme="1"/>
        <rFont val="Calibri"/>
        <family val="2"/>
        <scheme val="minor"/>
      </rPr>
      <t>) energy content</t>
    </r>
  </si>
  <si>
    <r>
      <t>MJ / kg C</t>
    </r>
    <r>
      <rPr>
        <vertAlign val="subscript"/>
        <sz val="9"/>
        <color theme="1"/>
        <rFont val="Calibri"/>
        <family val="2"/>
        <scheme val="minor"/>
      </rPr>
      <t>5</t>
    </r>
  </si>
  <si>
    <r>
      <t>Propane (C</t>
    </r>
    <r>
      <rPr>
        <vertAlign val="subscript"/>
        <sz val="9"/>
        <color theme="1"/>
        <rFont val="Calibri"/>
        <family val="2"/>
        <scheme val="minor"/>
      </rPr>
      <t>3</t>
    </r>
    <r>
      <rPr>
        <sz val="9"/>
        <color theme="1"/>
        <rFont val="Calibri"/>
        <family val="2"/>
        <scheme val="minor"/>
      </rPr>
      <t>H</t>
    </r>
    <r>
      <rPr>
        <vertAlign val="subscript"/>
        <sz val="9"/>
        <color theme="1"/>
        <rFont val="Calibri"/>
        <family val="2"/>
        <scheme val="minor"/>
      </rPr>
      <t>8</t>
    </r>
    <r>
      <rPr>
        <sz val="9"/>
        <color theme="1"/>
        <rFont val="Calibri"/>
        <family val="2"/>
        <scheme val="minor"/>
      </rPr>
      <t>) energy</t>
    </r>
  </si>
  <si>
    <r>
      <t>Butane (C</t>
    </r>
    <r>
      <rPr>
        <vertAlign val="subscript"/>
        <sz val="9"/>
        <color theme="1"/>
        <rFont val="Calibri"/>
        <family val="2"/>
        <scheme val="minor"/>
      </rPr>
      <t>4</t>
    </r>
    <r>
      <rPr>
        <sz val="9"/>
        <color theme="1"/>
        <rFont val="Calibri"/>
        <family val="2"/>
        <scheme val="minor"/>
      </rPr>
      <t>H</t>
    </r>
    <r>
      <rPr>
        <vertAlign val="subscript"/>
        <sz val="9"/>
        <color theme="1"/>
        <rFont val="Calibri"/>
        <family val="2"/>
        <scheme val="minor"/>
      </rPr>
      <t>10</t>
    </r>
    <r>
      <rPr>
        <sz val="9"/>
        <color theme="1"/>
        <rFont val="Calibri"/>
        <family val="2"/>
        <scheme val="minor"/>
      </rPr>
      <t>) energy</t>
    </r>
  </si>
  <si>
    <r>
      <t>Pentane (C</t>
    </r>
    <r>
      <rPr>
        <vertAlign val="subscript"/>
        <sz val="9"/>
        <color theme="1"/>
        <rFont val="Calibri"/>
        <family val="2"/>
        <scheme val="minor"/>
      </rPr>
      <t>5</t>
    </r>
    <r>
      <rPr>
        <sz val="9"/>
        <color theme="1"/>
        <rFont val="Calibri"/>
        <family val="2"/>
        <scheme val="minor"/>
      </rPr>
      <t>H</t>
    </r>
    <r>
      <rPr>
        <vertAlign val="subscript"/>
        <sz val="9"/>
        <color theme="1"/>
        <rFont val="Calibri"/>
        <family val="2"/>
        <scheme val="minor"/>
      </rPr>
      <t>12</t>
    </r>
    <r>
      <rPr>
        <sz val="9"/>
        <color theme="1"/>
        <rFont val="Calibri"/>
        <family val="2"/>
        <scheme val="minor"/>
      </rPr>
      <t>) energy</t>
    </r>
  </si>
  <si>
    <r>
      <t>kg fluid (recycled CO</t>
    </r>
    <r>
      <rPr>
        <vertAlign val="subscript"/>
        <sz val="9"/>
        <color theme="1"/>
        <rFont val="Calibri"/>
        <family val="2"/>
        <scheme val="minor"/>
      </rPr>
      <t>2</t>
    </r>
    <r>
      <rPr>
        <sz val="9"/>
        <color theme="1"/>
        <rFont val="Calibri"/>
        <family val="2"/>
        <scheme val="minor"/>
      </rPr>
      <t xml:space="preserve"> + hydrocarbon gas)</t>
    </r>
  </si>
  <si>
    <r>
      <t>kg CO</t>
    </r>
    <r>
      <rPr>
        <vertAlign val="subscript"/>
        <sz val="9"/>
        <color theme="1"/>
        <rFont val="Calibri"/>
        <family val="2"/>
        <scheme val="minor"/>
      </rPr>
      <t>2</t>
    </r>
    <r>
      <rPr>
        <sz val="9"/>
        <color theme="1"/>
        <rFont val="Calibri"/>
        <family val="2"/>
        <scheme val="minor"/>
      </rPr>
      <t xml:space="preserve"> / kg fluid</t>
    </r>
  </si>
  <si>
    <r>
      <t>Energy usage per kg of CO</t>
    </r>
    <r>
      <rPr>
        <vertAlign val="subscript"/>
        <sz val="9"/>
        <color theme="1"/>
        <rFont val="Calibri"/>
        <family val="2"/>
        <scheme val="minor"/>
      </rPr>
      <t>2</t>
    </r>
    <r>
      <rPr>
        <sz val="9"/>
        <color theme="1"/>
        <rFont val="Calibri"/>
        <family val="2"/>
        <scheme val="minor"/>
      </rPr>
      <t xml:space="preserve"> dehydrated</t>
    </r>
  </si>
  <si>
    <r>
      <t>kWh / kg CO</t>
    </r>
    <r>
      <rPr>
        <vertAlign val="subscript"/>
        <sz val="9"/>
        <color theme="1"/>
        <rFont val="Calibri"/>
        <family val="2"/>
        <scheme val="minor"/>
      </rPr>
      <t>2</t>
    </r>
    <r>
      <rPr>
        <sz val="9"/>
        <color theme="1"/>
        <rFont val="Calibri"/>
        <family val="2"/>
        <scheme val="minor"/>
      </rPr>
      <t xml:space="preserve"> dehydrated</t>
    </r>
  </si>
  <si>
    <r>
      <t>Derived from the energy usage rate and the kg of CO</t>
    </r>
    <r>
      <rPr>
        <vertAlign val="subscript"/>
        <sz val="9"/>
        <color theme="1"/>
        <rFont val="Calibri"/>
        <family val="2"/>
        <scheme val="minor"/>
      </rPr>
      <t>2</t>
    </r>
    <r>
      <rPr>
        <sz val="9"/>
        <color theme="1"/>
        <rFont val="Calibri"/>
        <family val="2"/>
        <scheme val="minor"/>
      </rPr>
      <t xml:space="preserve"> produced (recycled)</t>
    </r>
  </si>
  <si>
    <r>
      <t>MWh / kg gas (recycled CO</t>
    </r>
    <r>
      <rPr>
        <vertAlign val="subscript"/>
        <sz val="9"/>
        <color theme="1"/>
        <rFont val="Calibri"/>
        <family val="2"/>
        <scheme val="minor"/>
      </rPr>
      <t>2</t>
    </r>
    <r>
      <rPr>
        <sz val="9"/>
        <color theme="1"/>
        <rFont val="Calibri"/>
        <family val="2"/>
        <scheme val="minor"/>
      </rPr>
      <t xml:space="preserve"> + hydrocarbon gas)</t>
    </r>
  </si>
  <si>
    <r>
      <t>Derived from the electricity rate per unit of gas and the kg of gas (recycled CO</t>
    </r>
    <r>
      <rPr>
        <vertAlign val="subscript"/>
        <sz val="9"/>
        <color theme="1"/>
        <rFont val="Calibri"/>
        <family val="2"/>
        <scheme val="minor"/>
      </rPr>
      <t>2</t>
    </r>
    <r>
      <rPr>
        <sz val="9"/>
        <color theme="1"/>
        <rFont val="Calibri"/>
        <family val="2"/>
        <scheme val="minor"/>
      </rPr>
      <t xml:space="preserve"> + hydrocarbon gas)</t>
    </r>
  </si>
  <si>
    <r>
      <t>Inflow stream for post-membrane amine separation per unit of CO</t>
    </r>
    <r>
      <rPr>
        <vertAlign val="subscript"/>
        <sz val="9"/>
        <color theme="1"/>
        <rFont val="Calibri"/>
        <family val="2"/>
        <scheme val="minor"/>
      </rPr>
      <t>2</t>
    </r>
    <r>
      <rPr>
        <sz val="9"/>
        <color theme="1"/>
        <rFont val="Calibri"/>
        <family val="2"/>
        <scheme val="minor"/>
      </rPr>
      <t xml:space="preserve"> recovered</t>
    </r>
  </si>
  <si>
    <r>
      <t>kg inflow / kg CO</t>
    </r>
    <r>
      <rPr>
        <vertAlign val="subscript"/>
        <sz val="9"/>
        <color theme="1"/>
        <rFont val="Calibri"/>
        <family val="2"/>
        <scheme val="minor"/>
      </rPr>
      <t>2</t>
    </r>
    <r>
      <rPr>
        <sz val="9"/>
        <color theme="1"/>
        <rFont val="Calibri"/>
        <family val="2"/>
        <scheme val="minor"/>
      </rPr>
      <t xml:space="preserve"> recovered</t>
    </r>
  </si>
  <si>
    <r>
      <t>kg of CO</t>
    </r>
    <r>
      <rPr>
        <vertAlign val="subscript"/>
        <sz val="9"/>
        <color theme="1"/>
        <rFont val="Calibri"/>
        <family val="2"/>
        <scheme val="minor"/>
      </rPr>
      <t>2</t>
    </r>
    <r>
      <rPr>
        <sz val="9"/>
        <color theme="1"/>
        <rFont val="Calibri"/>
        <family val="2"/>
        <scheme val="minor"/>
      </rPr>
      <t xml:space="preserve"> recovered from post-membrane amine system</t>
    </r>
  </si>
  <si>
    <r>
      <t>kg CO</t>
    </r>
    <r>
      <rPr>
        <vertAlign val="subscript"/>
        <sz val="9"/>
        <color theme="1"/>
        <rFont val="Calibri"/>
        <family val="2"/>
        <scheme val="minor"/>
      </rPr>
      <t>2</t>
    </r>
    <r>
      <rPr>
        <sz val="9"/>
        <color theme="1"/>
        <rFont val="Calibri"/>
        <family val="2"/>
        <scheme val="minor"/>
      </rPr>
      <t xml:space="preserve"> recovered</t>
    </r>
  </si>
  <si>
    <r>
      <t>Derived from the kg feed gas for the amine system and the ratio of inflow/kg CO</t>
    </r>
    <r>
      <rPr>
        <vertAlign val="subscript"/>
        <sz val="9"/>
        <color theme="1"/>
        <rFont val="Calibri"/>
        <family val="2"/>
        <scheme val="minor"/>
      </rPr>
      <t>2</t>
    </r>
    <r>
      <rPr>
        <sz val="9"/>
        <color theme="1"/>
        <rFont val="Calibri"/>
        <family val="2"/>
        <scheme val="minor"/>
      </rPr>
      <t xml:space="preserve"> recovered</t>
    </r>
  </si>
  <si>
    <r>
      <t>Gas Processing (Membrane) - Post-Membrane Amine CO</t>
    </r>
    <r>
      <rPr>
        <vertAlign val="subscript"/>
        <sz val="9"/>
        <color theme="1"/>
        <rFont val="Calibri"/>
        <family val="2"/>
        <scheme val="minor"/>
      </rPr>
      <t>2</t>
    </r>
    <r>
      <rPr>
        <sz val="9"/>
        <color theme="1"/>
        <rFont val="Calibri"/>
        <family val="2"/>
        <scheme val="minor"/>
      </rPr>
      <t xml:space="preserve"> Capture, Solvent Upstream</t>
    </r>
  </si>
  <si>
    <r>
      <t>kg solvent / kg CO</t>
    </r>
    <r>
      <rPr>
        <vertAlign val="subscript"/>
        <sz val="9"/>
        <color theme="1"/>
        <rFont val="Calibri"/>
        <family val="2"/>
        <scheme val="minor"/>
      </rPr>
      <t>2</t>
    </r>
    <r>
      <rPr>
        <sz val="9"/>
        <color theme="1"/>
        <rFont val="Calibri"/>
        <family val="2"/>
        <scheme val="minor"/>
      </rPr>
      <t xml:space="preserve"> recovered</t>
    </r>
  </si>
  <si>
    <r>
      <t>Derived from the amine solvent makeup rate and the kg of CO</t>
    </r>
    <r>
      <rPr>
        <vertAlign val="subscript"/>
        <sz val="9"/>
        <color theme="1"/>
        <rFont val="Calibri"/>
        <family val="2"/>
        <scheme val="minor"/>
      </rPr>
      <t>2</t>
    </r>
    <r>
      <rPr>
        <sz val="9"/>
        <color theme="1"/>
        <rFont val="Calibri"/>
        <family val="2"/>
        <scheme val="minor"/>
      </rPr>
      <t xml:space="preserve"> recovered</t>
    </r>
  </si>
  <si>
    <r>
      <t>kg natural gas / kg CO</t>
    </r>
    <r>
      <rPr>
        <vertAlign val="subscript"/>
        <sz val="9"/>
        <color theme="1"/>
        <rFont val="Calibri"/>
        <family val="2"/>
        <scheme val="minor"/>
      </rPr>
      <t>2</t>
    </r>
    <r>
      <rPr>
        <sz val="9"/>
        <color theme="1"/>
        <rFont val="Calibri"/>
        <family val="2"/>
        <scheme val="minor"/>
      </rPr>
      <t xml:space="preserve"> recovered</t>
    </r>
  </si>
  <si>
    <r>
      <t>Derived from the kg of inflow gas and the kg of CO</t>
    </r>
    <r>
      <rPr>
        <vertAlign val="subscript"/>
        <sz val="9"/>
        <color theme="1"/>
        <rFont val="Calibri"/>
        <family val="2"/>
        <scheme val="minor"/>
      </rPr>
      <t>2</t>
    </r>
    <r>
      <rPr>
        <sz val="9"/>
        <color theme="1"/>
        <rFont val="Calibri"/>
        <family val="2"/>
        <scheme val="minor"/>
      </rPr>
      <t xml:space="preserve"> recovered</t>
    </r>
  </si>
  <si>
    <r>
      <t>CO</t>
    </r>
    <r>
      <rPr>
        <vertAlign val="subscript"/>
        <sz val="9"/>
        <color theme="1"/>
        <rFont val="Calibri"/>
        <family val="2"/>
        <scheme val="minor"/>
      </rPr>
      <t>2</t>
    </r>
  </si>
  <si>
    <r>
      <t>Methane (CH</t>
    </r>
    <r>
      <rPr>
        <vertAlign val="subscript"/>
        <sz val="9"/>
        <color theme="1"/>
        <rFont val="Calibri"/>
        <family val="2"/>
        <scheme val="minor"/>
      </rPr>
      <t>4</t>
    </r>
    <r>
      <rPr>
        <sz val="9"/>
        <color theme="1"/>
        <rFont val="Calibri"/>
        <family val="2"/>
        <scheme val="minor"/>
      </rPr>
      <t>)</t>
    </r>
  </si>
  <si>
    <r>
      <t>Ethane (C</t>
    </r>
    <r>
      <rPr>
        <vertAlign val="subscript"/>
        <sz val="9"/>
        <color theme="1"/>
        <rFont val="Calibri"/>
        <family val="2"/>
        <scheme val="minor"/>
      </rPr>
      <t>2</t>
    </r>
    <r>
      <rPr>
        <sz val="9"/>
        <color theme="1"/>
        <rFont val="Calibri"/>
        <family val="2"/>
        <scheme val="minor"/>
      </rPr>
      <t>H</t>
    </r>
    <r>
      <rPr>
        <vertAlign val="subscript"/>
        <sz val="9"/>
        <color theme="1"/>
        <rFont val="Calibri"/>
        <family val="2"/>
        <scheme val="minor"/>
      </rPr>
      <t>6</t>
    </r>
    <r>
      <rPr>
        <sz val="9"/>
        <color theme="1"/>
        <rFont val="Calibri"/>
        <family val="2"/>
        <scheme val="minor"/>
      </rPr>
      <t>)</t>
    </r>
  </si>
  <si>
    <r>
      <t>Propane (C</t>
    </r>
    <r>
      <rPr>
        <vertAlign val="subscript"/>
        <sz val="9"/>
        <color theme="1"/>
        <rFont val="Calibri"/>
        <family val="2"/>
        <scheme val="minor"/>
      </rPr>
      <t>3</t>
    </r>
    <r>
      <rPr>
        <sz val="9"/>
        <color theme="1"/>
        <rFont val="Calibri"/>
        <family val="2"/>
        <scheme val="minor"/>
      </rPr>
      <t>H</t>
    </r>
    <r>
      <rPr>
        <vertAlign val="subscript"/>
        <sz val="9"/>
        <color theme="1"/>
        <rFont val="Calibri"/>
        <family val="2"/>
        <scheme val="minor"/>
      </rPr>
      <t>8</t>
    </r>
    <r>
      <rPr>
        <sz val="9"/>
        <color theme="1"/>
        <rFont val="Calibri"/>
        <family val="2"/>
        <scheme val="minor"/>
      </rPr>
      <t>)</t>
    </r>
  </si>
  <si>
    <r>
      <t>Isobutane (C</t>
    </r>
    <r>
      <rPr>
        <vertAlign val="subscript"/>
        <sz val="9"/>
        <color theme="1"/>
        <rFont val="Calibri"/>
        <family val="2"/>
        <scheme val="minor"/>
      </rPr>
      <t>4</t>
    </r>
    <r>
      <rPr>
        <sz val="9"/>
        <color theme="1"/>
        <rFont val="Calibri"/>
        <family val="2"/>
        <scheme val="minor"/>
      </rPr>
      <t>H</t>
    </r>
    <r>
      <rPr>
        <vertAlign val="subscript"/>
        <sz val="9"/>
        <color theme="1"/>
        <rFont val="Calibri"/>
        <family val="2"/>
        <scheme val="minor"/>
      </rPr>
      <t>10</t>
    </r>
    <r>
      <rPr>
        <sz val="9"/>
        <color theme="1"/>
        <rFont val="Calibri"/>
        <family val="2"/>
        <scheme val="minor"/>
      </rPr>
      <t>)</t>
    </r>
  </si>
  <si>
    <r>
      <t>Butane (C</t>
    </r>
    <r>
      <rPr>
        <vertAlign val="subscript"/>
        <sz val="9"/>
        <color theme="1"/>
        <rFont val="Calibri"/>
        <family val="2"/>
        <scheme val="minor"/>
      </rPr>
      <t>4</t>
    </r>
    <r>
      <rPr>
        <sz val="9"/>
        <color theme="1"/>
        <rFont val="Calibri"/>
        <family val="2"/>
        <scheme val="minor"/>
      </rPr>
      <t>H</t>
    </r>
    <r>
      <rPr>
        <vertAlign val="subscript"/>
        <sz val="9"/>
        <color theme="1"/>
        <rFont val="Calibri"/>
        <family val="2"/>
        <scheme val="minor"/>
      </rPr>
      <t>10</t>
    </r>
    <r>
      <rPr>
        <sz val="9"/>
        <color theme="1"/>
        <rFont val="Calibri"/>
        <family val="2"/>
        <scheme val="minor"/>
      </rPr>
      <t>)</t>
    </r>
  </si>
  <si>
    <r>
      <t>Isopentane (C</t>
    </r>
    <r>
      <rPr>
        <vertAlign val="subscript"/>
        <sz val="9"/>
        <color theme="1"/>
        <rFont val="Calibri"/>
        <family val="2"/>
        <scheme val="minor"/>
      </rPr>
      <t>5</t>
    </r>
    <r>
      <rPr>
        <sz val="9"/>
        <color theme="1"/>
        <rFont val="Calibri"/>
        <family val="2"/>
        <scheme val="minor"/>
      </rPr>
      <t>H</t>
    </r>
    <r>
      <rPr>
        <vertAlign val="subscript"/>
        <sz val="9"/>
        <color theme="1"/>
        <rFont val="Calibri"/>
        <family val="2"/>
        <scheme val="minor"/>
      </rPr>
      <t>12</t>
    </r>
    <r>
      <rPr>
        <sz val="9"/>
        <color theme="1"/>
        <rFont val="Calibri"/>
        <family val="2"/>
        <scheme val="minor"/>
      </rPr>
      <t>+)</t>
    </r>
  </si>
  <si>
    <r>
      <t>GATE-TO-GATE: CO</t>
    </r>
    <r>
      <rPr>
        <b/>
        <vertAlign val="subscript"/>
        <sz val="9"/>
        <rFont val="Calibri"/>
        <family val="2"/>
        <scheme val="minor"/>
      </rPr>
      <t>2</t>
    </r>
    <r>
      <rPr>
        <b/>
        <sz val="9"/>
        <rFont val="Calibri"/>
        <family val="2"/>
        <scheme val="minor"/>
      </rPr>
      <t xml:space="preserve"> STORED IN RESERVOIR</t>
    </r>
  </si>
  <si>
    <r>
      <t>GATE-TO-GATE: FUGITIVE SURFACE LOSSES OF PURCHASED CO</t>
    </r>
    <r>
      <rPr>
        <b/>
        <vertAlign val="subscript"/>
        <sz val="9"/>
        <rFont val="Calibri"/>
        <family val="2"/>
        <scheme val="minor"/>
      </rPr>
      <t>2</t>
    </r>
  </si>
  <si>
    <r>
      <t>GATE-TO-GATE: CO</t>
    </r>
    <r>
      <rPr>
        <b/>
        <vertAlign val="subscript"/>
        <sz val="9"/>
        <rFont val="Calibri"/>
        <family val="2"/>
        <scheme val="minor"/>
      </rPr>
      <t>2</t>
    </r>
    <r>
      <rPr>
        <b/>
        <sz val="9"/>
        <rFont val="Calibri"/>
        <family val="2"/>
        <scheme val="minor"/>
      </rPr>
      <t xml:space="preserve"> LEAKAGE FROM STORAGE OVER 100-YEAR TIMEFRAME</t>
    </r>
  </si>
  <si>
    <r>
      <t>Unit conversion from degrees API to kg/m</t>
    </r>
    <r>
      <rPr>
        <vertAlign val="superscript"/>
        <sz val="9"/>
        <color theme="1"/>
        <rFont val="Calibri"/>
        <family val="2"/>
        <scheme val="minor"/>
      </rPr>
      <t>3</t>
    </r>
  </si>
  <si>
    <r>
      <t>Unit conversion from kg/m</t>
    </r>
    <r>
      <rPr>
        <vertAlign val="superscript"/>
        <sz val="9"/>
        <color theme="1"/>
        <rFont val="Calibri"/>
        <family val="2"/>
        <scheme val="minor"/>
      </rPr>
      <t>3</t>
    </r>
    <r>
      <rPr>
        <sz val="9"/>
        <color theme="1"/>
        <rFont val="Calibri"/>
        <family val="2"/>
        <scheme val="minor"/>
      </rPr>
      <t xml:space="preserve"> to kg/bbl</t>
    </r>
  </si>
  <si>
    <r>
      <t>CO</t>
    </r>
    <r>
      <rPr>
        <vertAlign val="subscript"/>
        <sz val="9"/>
        <color theme="1"/>
        <rFont val="Calibri"/>
        <family val="2"/>
        <scheme val="minor"/>
      </rPr>
      <t>2</t>
    </r>
    <r>
      <rPr>
        <sz val="9"/>
        <color theme="1"/>
        <rFont val="Calibri"/>
        <family val="2"/>
        <scheme val="minor"/>
      </rPr>
      <t xml:space="preserve"> emissions factor for electricity</t>
    </r>
  </si>
  <si>
    <r>
      <t>CO</t>
    </r>
    <r>
      <rPr>
        <vertAlign val="subscript"/>
        <sz val="9"/>
        <color theme="1"/>
        <rFont val="Calibri"/>
        <family val="2"/>
        <scheme val="minor"/>
      </rPr>
      <t>2</t>
    </r>
    <r>
      <rPr>
        <sz val="9"/>
        <color theme="1"/>
        <rFont val="Calibri"/>
        <family val="2"/>
        <scheme val="minor"/>
      </rPr>
      <t xml:space="preserve"> emissions for crude oil transport by pipeline</t>
    </r>
  </si>
  <si>
    <r>
      <t>Derived from the one-way energy use and the CO</t>
    </r>
    <r>
      <rPr>
        <vertAlign val="subscript"/>
        <sz val="9"/>
        <color theme="1"/>
        <rFont val="Calibri"/>
        <family val="2"/>
        <scheme val="minor"/>
      </rPr>
      <t>2</t>
    </r>
    <r>
      <rPr>
        <sz val="9"/>
        <color theme="1"/>
        <rFont val="Calibri"/>
        <family val="2"/>
        <scheme val="minor"/>
      </rPr>
      <t xml:space="preserve"> emissions factor for electricity</t>
    </r>
  </si>
  <si>
    <r>
      <t>CO</t>
    </r>
    <r>
      <rPr>
        <vertAlign val="subscript"/>
        <sz val="9"/>
        <color theme="1"/>
        <rFont val="Calibri"/>
        <family val="2"/>
        <scheme val="minor"/>
      </rPr>
      <t>2</t>
    </r>
    <r>
      <rPr>
        <sz val="9"/>
        <color theme="1"/>
        <rFont val="Calibri"/>
        <family val="2"/>
        <scheme val="minor"/>
      </rPr>
      <t xml:space="preserve"> emissions factor for crude oil transport by pipeline</t>
    </r>
  </si>
  <si>
    <r>
      <t>Derived from the CO</t>
    </r>
    <r>
      <rPr>
        <vertAlign val="subscript"/>
        <sz val="9"/>
        <color theme="1"/>
        <rFont val="Calibri"/>
        <family val="2"/>
        <scheme val="minor"/>
      </rPr>
      <t>2</t>
    </r>
    <r>
      <rPr>
        <sz val="9"/>
        <color theme="1"/>
        <rFont val="Calibri"/>
        <family val="2"/>
        <scheme val="minor"/>
      </rPr>
      <t xml:space="preserve"> emissions for crude oil transport by pipeline and the barrels of oil produced</t>
    </r>
  </si>
  <si>
    <r>
      <t>CO</t>
    </r>
    <r>
      <rPr>
        <vertAlign val="subscript"/>
        <sz val="9"/>
        <color theme="1"/>
        <rFont val="Calibri"/>
        <family val="2"/>
        <scheme val="minor"/>
      </rPr>
      <t>2</t>
    </r>
    <r>
      <rPr>
        <sz val="9"/>
        <color theme="1"/>
        <rFont val="Calibri"/>
        <family val="2"/>
        <scheme val="minor"/>
      </rPr>
      <t xml:space="preserve"> emissions (gasoline)</t>
    </r>
  </si>
  <si>
    <r>
      <t>kg CO</t>
    </r>
    <r>
      <rPr>
        <vertAlign val="subscript"/>
        <sz val="9"/>
        <color theme="1"/>
        <rFont val="Calibri"/>
        <family val="2"/>
        <scheme val="minor"/>
      </rPr>
      <t>2</t>
    </r>
    <r>
      <rPr>
        <sz val="9"/>
        <color theme="1"/>
        <rFont val="Calibri"/>
        <family val="2"/>
        <scheme val="minor"/>
      </rPr>
      <t xml:space="preserve"> / bbl refined product</t>
    </r>
  </si>
  <si>
    <r>
      <t>CO</t>
    </r>
    <r>
      <rPr>
        <vertAlign val="subscript"/>
        <sz val="9"/>
        <color theme="1"/>
        <rFont val="Calibri"/>
        <family val="2"/>
        <scheme val="minor"/>
      </rPr>
      <t>2</t>
    </r>
    <r>
      <rPr>
        <sz val="9"/>
        <color theme="1"/>
        <rFont val="Calibri"/>
        <family val="2"/>
        <scheme val="minor"/>
      </rPr>
      <t xml:space="preserve"> emissions (diesel)</t>
    </r>
  </si>
  <si>
    <r>
      <t>CO</t>
    </r>
    <r>
      <rPr>
        <vertAlign val="subscript"/>
        <sz val="9"/>
        <color theme="1"/>
        <rFont val="Calibri"/>
        <family val="2"/>
        <scheme val="minor"/>
      </rPr>
      <t>2</t>
    </r>
    <r>
      <rPr>
        <sz val="9"/>
        <color theme="1"/>
        <rFont val="Calibri"/>
        <family val="2"/>
        <scheme val="minor"/>
      </rPr>
      <t xml:space="preserve"> emissions (kerosene and kerosene-based jet fuel)</t>
    </r>
  </si>
  <si>
    <r>
      <t>CO</t>
    </r>
    <r>
      <rPr>
        <vertAlign val="subscript"/>
        <sz val="9"/>
        <color theme="1"/>
        <rFont val="Calibri"/>
        <family val="2"/>
        <scheme val="minor"/>
      </rPr>
      <t>2</t>
    </r>
    <r>
      <rPr>
        <sz val="9"/>
        <color theme="1"/>
        <rFont val="Calibri"/>
        <family val="2"/>
        <scheme val="minor"/>
      </rPr>
      <t xml:space="preserve"> emissions (residual fuel oil)</t>
    </r>
  </si>
  <si>
    <r>
      <t>CO</t>
    </r>
    <r>
      <rPr>
        <vertAlign val="subscript"/>
        <sz val="9"/>
        <color theme="1"/>
        <rFont val="Calibri"/>
        <family val="2"/>
        <scheme val="minor"/>
      </rPr>
      <t>2</t>
    </r>
    <r>
      <rPr>
        <sz val="9"/>
        <color theme="1"/>
        <rFont val="Calibri"/>
        <family val="2"/>
        <scheme val="minor"/>
      </rPr>
      <t xml:space="preserve"> emissions (coke)</t>
    </r>
  </si>
  <si>
    <r>
      <t>CO</t>
    </r>
    <r>
      <rPr>
        <vertAlign val="subscript"/>
        <sz val="9"/>
        <color theme="1"/>
        <rFont val="Calibri"/>
        <family val="2"/>
        <scheme val="minor"/>
      </rPr>
      <t>2</t>
    </r>
    <r>
      <rPr>
        <sz val="9"/>
        <color theme="1"/>
        <rFont val="Calibri"/>
        <family val="2"/>
        <scheme val="minor"/>
      </rPr>
      <t xml:space="preserve"> emissions (light ends)</t>
    </r>
  </si>
  <si>
    <r>
      <t>CO</t>
    </r>
    <r>
      <rPr>
        <vertAlign val="subscript"/>
        <sz val="9"/>
        <color theme="1"/>
        <rFont val="Calibri"/>
        <family val="2"/>
        <scheme val="minor"/>
      </rPr>
      <t>2</t>
    </r>
    <r>
      <rPr>
        <sz val="9"/>
        <color theme="1"/>
        <rFont val="Calibri"/>
        <family val="2"/>
        <scheme val="minor"/>
      </rPr>
      <t xml:space="preserve"> emissions (heavy ends)</t>
    </r>
  </si>
  <si>
    <r>
      <t>CH</t>
    </r>
    <r>
      <rPr>
        <vertAlign val="subscript"/>
        <sz val="9"/>
        <color theme="1"/>
        <rFont val="Calibri"/>
        <family val="2"/>
        <scheme val="minor"/>
      </rPr>
      <t>4</t>
    </r>
    <r>
      <rPr>
        <sz val="9"/>
        <color theme="1"/>
        <rFont val="Calibri"/>
        <family val="2"/>
        <scheme val="minor"/>
      </rPr>
      <t xml:space="preserve"> emissions (gasoline)</t>
    </r>
  </si>
  <si>
    <r>
      <t>kg CH</t>
    </r>
    <r>
      <rPr>
        <vertAlign val="subscript"/>
        <sz val="9"/>
        <color theme="1"/>
        <rFont val="Calibri"/>
        <family val="2"/>
        <scheme val="minor"/>
      </rPr>
      <t>4</t>
    </r>
    <r>
      <rPr>
        <sz val="9"/>
        <color theme="1"/>
        <rFont val="Calibri"/>
        <family val="2"/>
        <scheme val="minor"/>
      </rPr>
      <t xml:space="preserve"> / bbl refined product</t>
    </r>
  </si>
  <si>
    <r>
      <t>CH</t>
    </r>
    <r>
      <rPr>
        <vertAlign val="subscript"/>
        <sz val="9"/>
        <color theme="1"/>
        <rFont val="Calibri"/>
        <family val="2"/>
        <scheme val="minor"/>
      </rPr>
      <t>4</t>
    </r>
    <r>
      <rPr>
        <sz val="9"/>
        <color theme="1"/>
        <rFont val="Calibri"/>
        <family val="2"/>
        <scheme val="minor"/>
      </rPr>
      <t xml:space="preserve"> emissions (diesel)</t>
    </r>
  </si>
  <si>
    <r>
      <t>CH</t>
    </r>
    <r>
      <rPr>
        <vertAlign val="subscript"/>
        <sz val="9"/>
        <color theme="1"/>
        <rFont val="Calibri"/>
        <family val="2"/>
        <scheme val="minor"/>
      </rPr>
      <t>4</t>
    </r>
    <r>
      <rPr>
        <sz val="9"/>
        <color theme="1"/>
        <rFont val="Calibri"/>
        <family val="2"/>
        <scheme val="minor"/>
      </rPr>
      <t xml:space="preserve"> emissions (kerosene and kerosene-based jet fuel)</t>
    </r>
  </si>
  <si>
    <r>
      <t>CH</t>
    </r>
    <r>
      <rPr>
        <vertAlign val="subscript"/>
        <sz val="9"/>
        <color theme="1"/>
        <rFont val="Calibri"/>
        <family val="2"/>
        <scheme val="minor"/>
      </rPr>
      <t>4</t>
    </r>
    <r>
      <rPr>
        <sz val="9"/>
        <color theme="1"/>
        <rFont val="Calibri"/>
        <family val="2"/>
        <scheme val="minor"/>
      </rPr>
      <t xml:space="preserve"> emissions (residual fuel oil)</t>
    </r>
  </si>
  <si>
    <r>
      <t>CH</t>
    </r>
    <r>
      <rPr>
        <vertAlign val="subscript"/>
        <sz val="9"/>
        <color theme="1"/>
        <rFont val="Calibri"/>
        <family val="2"/>
        <scheme val="minor"/>
      </rPr>
      <t>4</t>
    </r>
    <r>
      <rPr>
        <sz val="9"/>
        <color theme="1"/>
        <rFont val="Calibri"/>
        <family val="2"/>
        <scheme val="minor"/>
      </rPr>
      <t xml:space="preserve"> emissions (coke)</t>
    </r>
  </si>
  <si>
    <r>
      <t>CH</t>
    </r>
    <r>
      <rPr>
        <vertAlign val="subscript"/>
        <sz val="9"/>
        <color theme="1"/>
        <rFont val="Calibri"/>
        <family val="2"/>
        <scheme val="minor"/>
      </rPr>
      <t>4</t>
    </r>
    <r>
      <rPr>
        <sz val="9"/>
        <color theme="1"/>
        <rFont val="Calibri"/>
        <family val="2"/>
        <scheme val="minor"/>
      </rPr>
      <t xml:space="preserve"> emissions (light ends)</t>
    </r>
  </si>
  <si>
    <r>
      <t>CH</t>
    </r>
    <r>
      <rPr>
        <vertAlign val="subscript"/>
        <sz val="9"/>
        <color theme="1"/>
        <rFont val="Calibri"/>
        <family val="2"/>
        <scheme val="minor"/>
      </rPr>
      <t>4</t>
    </r>
    <r>
      <rPr>
        <sz val="9"/>
        <color theme="1"/>
        <rFont val="Calibri"/>
        <family val="2"/>
        <scheme val="minor"/>
      </rPr>
      <t xml:space="preserve"> emissions (heavy ends)</t>
    </r>
  </si>
  <si>
    <r>
      <t>N</t>
    </r>
    <r>
      <rPr>
        <vertAlign val="subscript"/>
        <sz val="9"/>
        <color theme="1"/>
        <rFont val="Calibri"/>
        <family val="2"/>
        <scheme val="minor"/>
      </rPr>
      <t>2</t>
    </r>
    <r>
      <rPr>
        <sz val="9"/>
        <color theme="1"/>
        <rFont val="Calibri"/>
        <family val="2"/>
        <scheme val="minor"/>
      </rPr>
      <t>O emissions (gasoline)</t>
    </r>
  </si>
  <si>
    <r>
      <t>kg N</t>
    </r>
    <r>
      <rPr>
        <vertAlign val="subscript"/>
        <sz val="9"/>
        <color theme="1"/>
        <rFont val="Calibri"/>
        <family val="2"/>
        <scheme val="minor"/>
      </rPr>
      <t>2</t>
    </r>
    <r>
      <rPr>
        <sz val="9"/>
        <color theme="1"/>
        <rFont val="Calibri"/>
        <family val="2"/>
        <scheme val="minor"/>
      </rPr>
      <t>O / bbl refined product</t>
    </r>
  </si>
  <si>
    <r>
      <t>N</t>
    </r>
    <r>
      <rPr>
        <vertAlign val="subscript"/>
        <sz val="9"/>
        <color theme="1"/>
        <rFont val="Calibri"/>
        <family val="2"/>
        <scheme val="minor"/>
      </rPr>
      <t>2</t>
    </r>
    <r>
      <rPr>
        <sz val="9"/>
        <color theme="1"/>
        <rFont val="Calibri"/>
        <family val="2"/>
        <scheme val="minor"/>
      </rPr>
      <t>O emissions (diesel)</t>
    </r>
  </si>
  <si>
    <r>
      <t>N</t>
    </r>
    <r>
      <rPr>
        <vertAlign val="subscript"/>
        <sz val="9"/>
        <color theme="1"/>
        <rFont val="Calibri"/>
        <family val="2"/>
        <scheme val="minor"/>
      </rPr>
      <t>2</t>
    </r>
    <r>
      <rPr>
        <sz val="9"/>
        <color theme="1"/>
        <rFont val="Calibri"/>
        <family val="2"/>
        <scheme val="minor"/>
      </rPr>
      <t>O emissions (kerosene and kerosene-based jet fuel)</t>
    </r>
  </si>
  <si>
    <r>
      <t>N</t>
    </r>
    <r>
      <rPr>
        <vertAlign val="subscript"/>
        <sz val="9"/>
        <color theme="1"/>
        <rFont val="Calibri"/>
        <family val="2"/>
        <scheme val="minor"/>
      </rPr>
      <t>2</t>
    </r>
    <r>
      <rPr>
        <sz val="9"/>
        <color theme="1"/>
        <rFont val="Calibri"/>
        <family val="2"/>
        <scheme val="minor"/>
      </rPr>
      <t>O emissions (residual fuel oil)</t>
    </r>
  </si>
  <si>
    <r>
      <t>N</t>
    </r>
    <r>
      <rPr>
        <vertAlign val="subscript"/>
        <sz val="9"/>
        <color theme="1"/>
        <rFont val="Calibri"/>
        <family val="2"/>
        <scheme val="minor"/>
      </rPr>
      <t>2</t>
    </r>
    <r>
      <rPr>
        <sz val="9"/>
        <color theme="1"/>
        <rFont val="Calibri"/>
        <family val="2"/>
        <scheme val="minor"/>
      </rPr>
      <t>O emissions (coke)</t>
    </r>
  </si>
  <si>
    <r>
      <t>N</t>
    </r>
    <r>
      <rPr>
        <vertAlign val="subscript"/>
        <sz val="9"/>
        <color theme="1"/>
        <rFont val="Calibri"/>
        <family val="2"/>
        <scheme val="minor"/>
      </rPr>
      <t>2</t>
    </r>
    <r>
      <rPr>
        <sz val="9"/>
        <color theme="1"/>
        <rFont val="Calibri"/>
        <family val="2"/>
        <scheme val="minor"/>
      </rPr>
      <t>O emissions (light ends)</t>
    </r>
  </si>
  <si>
    <r>
      <t>N</t>
    </r>
    <r>
      <rPr>
        <vertAlign val="subscript"/>
        <sz val="9"/>
        <color theme="1"/>
        <rFont val="Calibri"/>
        <family val="2"/>
        <scheme val="minor"/>
      </rPr>
      <t>2</t>
    </r>
    <r>
      <rPr>
        <sz val="9"/>
        <color theme="1"/>
        <rFont val="Calibri"/>
        <family val="2"/>
        <scheme val="minor"/>
      </rPr>
      <t>O emissions (heavy ends)</t>
    </r>
  </si>
  <si>
    <r>
      <t>kg CO</t>
    </r>
    <r>
      <rPr>
        <vertAlign val="subscript"/>
        <sz val="9"/>
        <color theme="1"/>
        <rFont val="Calibri"/>
        <family val="2"/>
        <scheme val="minor"/>
      </rPr>
      <t>2</t>
    </r>
    <r>
      <rPr>
        <sz val="9"/>
        <color theme="1"/>
        <rFont val="Calibri"/>
        <family val="2"/>
        <scheme val="minor"/>
      </rPr>
      <t>e / bbl refined product</t>
    </r>
  </si>
  <si>
    <r>
      <t>Sum of CO</t>
    </r>
    <r>
      <rPr>
        <vertAlign val="subscript"/>
        <sz val="9"/>
        <color theme="1"/>
        <rFont val="Calibri"/>
        <family val="2"/>
        <scheme val="minor"/>
      </rPr>
      <t>2</t>
    </r>
    <r>
      <rPr>
        <sz val="9"/>
        <color theme="1"/>
        <rFont val="Calibri"/>
        <family val="2"/>
        <scheme val="minor"/>
      </rPr>
      <t>, CH</t>
    </r>
    <r>
      <rPr>
        <vertAlign val="subscript"/>
        <sz val="9"/>
        <color theme="1"/>
        <rFont val="Calibri"/>
        <family val="2"/>
        <scheme val="minor"/>
      </rPr>
      <t>4</t>
    </r>
    <r>
      <rPr>
        <sz val="9"/>
        <color theme="1"/>
        <rFont val="Calibri"/>
        <family val="2"/>
        <scheme val="minor"/>
      </rPr>
      <t>, and N</t>
    </r>
    <r>
      <rPr>
        <vertAlign val="subscript"/>
        <sz val="9"/>
        <color theme="1"/>
        <rFont val="Calibri"/>
        <family val="2"/>
        <scheme val="minor"/>
      </rPr>
      <t>2</t>
    </r>
    <r>
      <rPr>
        <sz val="9"/>
        <color theme="1"/>
        <rFont val="Calibri"/>
        <family val="2"/>
        <scheme val="minor"/>
      </rPr>
      <t>O</t>
    </r>
  </si>
  <si>
    <r>
      <t>kg CO</t>
    </r>
    <r>
      <rPr>
        <vertAlign val="subscript"/>
        <sz val="9"/>
        <color theme="1"/>
        <rFont val="Calibri"/>
        <family val="2"/>
        <scheme val="minor"/>
      </rPr>
      <t>2</t>
    </r>
    <r>
      <rPr>
        <sz val="9"/>
        <color theme="1"/>
        <rFont val="Calibri"/>
        <family val="2"/>
        <scheme val="minor"/>
      </rPr>
      <t>e / bbl crude</t>
    </r>
  </si>
  <si>
    <r>
      <t>CH</t>
    </r>
    <r>
      <rPr>
        <vertAlign val="subscript"/>
        <sz val="9"/>
        <color theme="1"/>
        <rFont val="Calibri"/>
        <family val="2"/>
        <scheme val="minor"/>
      </rPr>
      <t>4</t>
    </r>
    <r>
      <rPr>
        <sz val="9"/>
        <color theme="1"/>
        <rFont val="Calibri"/>
        <family val="2"/>
        <scheme val="minor"/>
      </rPr>
      <t xml:space="preserve"> emissions factor</t>
    </r>
  </si>
  <si>
    <r>
      <t>kg CH</t>
    </r>
    <r>
      <rPr>
        <vertAlign val="subscript"/>
        <sz val="9"/>
        <color theme="1"/>
        <rFont val="Calibri"/>
        <family val="2"/>
        <scheme val="minor"/>
      </rPr>
      <t>4</t>
    </r>
    <r>
      <rPr>
        <sz val="9"/>
        <color theme="1"/>
        <rFont val="Calibri"/>
        <family val="2"/>
        <scheme val="minor"/>
      </rPr>
      <t xml:space="preserve"> / bbl</t>
    </r>
  </si>
  <si>
    <r>
      <t>N</t>
    </r>
    <r>
      <rPr>
        <vertAlign val="subscript"/>
        <sz val="9"/>
        <color theme="1"/>
        <rFont val="Calibri"/>
        <family val="2"/>
        <scheme val="minor"/>
      </rPr>
      <t>2</t>
    </r>
    <r>
      <rPr>
        <sz val="9"/>
        <color theme="1"/>
        <rFont val="Calibri"/>
        <family val="2"/>
        <scheme val="minor"/>
      </rPr>
      <t>O emissions factor</t>
    </r>
  </si>
  <si>
    <r>
      <t>kg N</t>
    </r>
    <r>
      <rPr>
        <vertAlign val="subscript"/>
        <sz val="9"/>
        <color theme="1"/>
        <rFont val="Calibri"/>
        <family val="2"/>
        <scheme val="minor"/>
      </rPr>
      <t>2</t>
    </r>
    <r>
      <rPr>
        <sz val="9"/>
        <color theme="1"/>
        <rFont val="Calibri"/>
        <family val="2"/>
        <scheme val="minor"/>
      </rPr>
      <t>O / bbl</t>
    </r>
  </si>
  <si>
    <r>
      <t>kg CO</t>
    </r>
    <r>
      <rPr>
        <vertAlign val="subscript"/>
        <sz val="9"/>
        <color theme="1"/>
        <rFont val="Calibri"/>
        <family val="2"/>
        <scheme val="minor"/>
      </rPr>
      <t>2</t>
    </r>
    <r>
      <rPr>
        <sz val="9"/>
        <color theme="1"/>
        <rFont val="Calibri"/>
        <family val="2"/>
        <scheme val="minor"/>
      </rPr>
      <t>/bbl</t>
    </r>
  </si>
  <si>
    <t>SOURCE</t>
  </si>
  <si>
    <t>Literature</t>
  </si>
  <si>
    <t>ELECTRICITY CO-PRODUCT</t>
  </si>
  <si>
    <r>
      <rPr>
        <vertAlign val="superscript"/>
        <sz val="10"/>
        <color theme="1"/>
        <rFont val="Calibri"/>
        <family val="2"/>
        <scheme val="minor"/>
      </rPr>
      <t>d</t>
    </r>
    <r>
      <rPr>
        <sz val="10"/>
        <color theme="1"/>
        <rFont val="Calibri"/>
        <family val="2"/>
        <scheme val="minor"/>
      </rPr>
      <t xml:space="preserve"> Emissions factors for stage 3 from DOE-NETL (2008) are identical to the CO</t>
    </r>
    <r>
      <rPr>
        <vertAlign val="subscript"/>
        <sz val="10"/>
        <color theme="1"/>
        <rFont val="Calibri"/>
        <family val="2"/>
        <scheme val="minor"/>
      </rPr>
      <t>2</t>
    </r>
    <r>
      <rPr>
        <sz val="10"/>
        <color theme="1"/>
        <rFont val="Calibri"/>
        <family val="2"/>
        <scheme val="minor"/>
      </rPr>
      <t>-EOR life-cycle model</t>
    </r>
  </si>
  <si>
    <r>
      <rPr>
        <vertAlign val="superscript"/>
        <sz val="10"/>
        <color theme="1"/>
        <rFont val="Calibri"/>
        <family val="2"/>
        <scheme val="minor"/>
      </rPr>
      <t>a</t>
    </r>
    <r>
      <rPr>
        <sz val="10"/>
        <color theme="1"/>
        <rFont val="Calibri"/>
        <family val="2"/>
        <scheme val="minor"/>
      </rPr>
      <t xml:space="preserve"> The barrels of fuel consumed is derived from the barrels of crude oil and the percentage of refinery production in the CO</t>
    </r>
    <r>
      <rPr>
        <vertAlign val="subscript"/>
        <sz val="10"/>
        <color theme="1"/>
        <rFont val="Calibri"/>
        <family val="2"/>
        <scheme val="minor"/>
      </rPr>
      <t>2</t>
    </r>
    <r>
      <rPr>
        <sz val="10"/>
        <color theme="1"/>
        <rFont val="Calibri"/>
        <family val="2"/>
        <scheme val="minor"/>
      </rPr>
      <t>-EOR life-cycle model.</t>
    </r>
  </si>
  <si>
    <r>
      <rPr>
        <vertAlign val="superscript"/>
        <sz val="10"/>
        <color theme="1"/>
        <rFont val="Calibri"/>
        <family val="2"/>
        <scheme val="minor"/>
      </rPr>
      <t>b</t>
    </r>
    <r>
      <rPr>
        <sz val="10"/>
        <color theme="1"/>
        <rFont val="Calibri"/>
        <family val="2"/>
        <scheme val="minor"/>
      </rPr>
      <t xml:space="preserve"> Emissions factors for stage 1 for the CO</t>
    </r>
    <r>
      <rPr>
        <vertAlign val="subscript"/>
        <sz val="10"/>
        <color theme="1"/>
        <rFont val="Calibri"/>
        <family val="2"/>
        <scheme val="minor"/>
      </rPr>
      <t>2</t>
    </r>
    <r>
      <rPr>
        <sz val="10"/>
        <color theme="1"/>
        <rFont val="Calibri"/>
        <family val="2"/>
        <scheme val="minor"/>
      </rPr>
      <t>-EOR life-cycle model include upstream emissions associated with coal mining, processing, and transport; coal-fired power plant; and pipeline of CO</t>
    </r>
    <r>
      <rPr>
        <vertAlign val="subscript"/>
        <sz val="10"/>
        <color theme="1"/>
        <rFont val="Calibri"/>
        <family val="2"/>
        <scheme val="minor"/>
      </rPr>
      <t>2</t>
    </r>
    <r>
      <rPr>
        <sz val="10"/>
        <color theme="1"/>
        <rFont val="Calibri"/>
        <family val="2"/>
        <scheme val="minor"/>
      </rPr>
      <t xml:space="preserve"> to the oil field.</t>
    </r>
  </si>
  <si>
    <r>
      <rPr>
        <vertAlign val="superscript"/>
        <sz val="10"/>
        <color theme="1"/>
        <rFont val="Calibri"/>
        <family val="2"/>
        <scheme val="minor"/>
      </rPr>
      <t>c</t>
    </r>
    <r>
      <rPr>
        <sz val="10"/>
        <color theme="1"/>
        <rFont val="Calibri"/>
        <family val="2"/>
        <scheme val="minor"/>
      </rPr>
      <t xml:space="preserve"> Emissions factors for stage 2 are taken from the CO</t>
    </r>
    <r>
      <rPr>
        <vertAlign val="subscript"/>
        <sz val="10"/>
        <color theme="1"/>
        <rFont val="Calibri"/>
        <family val="2"/>
        <scheme val="minor"/>
      </rPr>
      <t>2</t>
    </r>
    <r>
      <rPr>
        <sz val="10"/>
        <color theme="1"/>
        <rFont val="Calibri"/>
        <family val="2"/>
        <scheme val="minor"/>
      </rPr>
      <t>-EOR life-cycle model to allow direct comparison</t>
    </r>
  </si>
  <si>
    <r>
      <rPr>
        <vertAlign val="superscript"/>
        <sz val="10"/>
        <color theme="1"/>
        <rFont val="Calibri"/>
        <family val="2"/>
        <scheme val="minor"/>
      </rPr>
      <t>e</t>
    </r>
    <r>
      <rPr>
        <sz val="10"/>
        <color theme="1"/>
        <rFont val="Calibri"/>
        <family val="2"/>
        <scheme val="minor"/>
      </rPr>
      <t xml:space="preserve"> Emissions factors for stage 4 are taken from DOE-NETL (2008) to allow direct comparison of fuel-specific transport.</t>
    </r>
  </si>
  <si>
    <r>
      <rPr>
        <vertAlign val="superscript"/>
        <sz val="10"/>
        <color theme="1"/>
        <rFont val="Calibri"/>
        <family val="2"/>
        <scheme val="minor"/>
      </rPr>
      <t>f</t>
    </r>
    <r>
      <rPr>
        <sz val="10"/>
        <color theme="1"/>
        <rFont val="Calibri"/>
        <family val="2"/>
        <scheme val="minor"/>
      </rPr>
      <t xml:space="preserve"> Emissions factors for stage 5 are taken from DOE-NETL (2008) to allow direct comparison of fuel-specific combustion.</t>
    </r>
  </si>
  <si>
    <r>
      <rPr>
        <vertAlign val="superscript"/>
        <sz val="10"/>
        <color theme="1"/>
        <rFont val="Calibri"/>
        <family val="2"/>
        <scheme val="minor"/>
      </rPr>
      <t>h</t>
    </r>
    <r>
      <rPr>
        <sz val="10"/>
        <color theme="1"/>
        <rFont val="Calibri"/>
        <family val="2"/>
        <scheme val="minor"/>
      </rPr>
      <t xml:space="preserve"> DOE-NETL (2008) uses the 2007 IPCC GWP factors for methane and nitrous oxide.  We adjust the factor for methane from 25 to 34 to reflect the 2013 IPCC GWP factors used in the CO</t>
    </r>
    <r>
      <rPr>
        <vertAlign val="subscript"/>
        <sz val="10"/>
        <color theme="1"/>
        <rFont val="Calibri"/>
        <family val="2"/>
        <scheme val="minor"/>
      </rPr>
      <t>2</t>
    </r>
    <r>
      <rPr>
        <sz val="10"/>
        <color theme="1"/>
        <rFont val="Calibri"/>
        <family val="2"/>
        <scheme val="minor"/>
      </rPr>
      <t>-EOR life-cycle model.</t>
    </r>
  </si>
  <si>
    <r>
      <t>Gasoline (CO</t>
    </r>
    <r>
      <rPr>
        <vertAlign val="subscript"/>
        <sz val="10"/>
        <color theme="1"/>
        <rFont val="Calibri"/>
        <family val="2"/>
        <scheme val="minor"/>
      </rPr>
      <t>2</t>
    </r>
    <r>
      <rPr>
        <sz val="10"/>
        <color theme="1"/>
        <rFont val="Calibri"/>
        <family val="2"/>
        <scheme val="minor"/>
      </rPr>
      <t>-EOR)</t>
    </r>
  </si>
  <si>
    <r>
      <t>Diesel (CO</t>
    </r>
    <r>
      <rPr>
        <vertAlign val="subscript"/>
        <sz val="10"/>
        <color theme="1"/>
        <rFont val="Calibri"/>
        <family val="2"/>
        <scheme val="minor"/>
      </rPr>
      <t>2</t>
    </r>
    <r>
      <rPr>
        <sz val="10"/>
        <color theme="1"/>
        <rFont val="Calibri"/>
        <family val="2"/>
        <scheme val="minor"/>
      </rPr>
      <t>-EOR)</t>
    </r>
  </si>
  <si>
    <r>
      <t>CO</t>
    </r>
    <r>
      <rPr>
        <vertAlign val="subscript"/>
        <sz val="10"/>
        <color theme="1"/>
        <rFont val="Calibri"/>
        <family val="2"/>
        <scheme val="minor"/>
      </rPr>
      <t>2</t>
    </r>
    <r>
      <rPr>
        <sz val="10"/>
        <color theme="1"/>
        <rFont val="Calibri"/>
        <family val="2"/>
        <scheme val="minor"/>
      </rPr>
      <t xml:space="preserve"> emissions avoided factor (per barrel of crude oil produced)</t>
    </r>
  </si>
  <si>
    <t>LOW VALUE</t>
  </si>
  <si>
    <t>HIGH VALUE</t>
  </si>
  <si>
    <t>LOW-EMISSION</t>
  </si>
  <si>
    <t>HIGH-EMISSION</t>
  </si>
  <si>
    <r>
      <t>kg CO</t>
    </r>
    <r>
      <rPr>
        <b/>
        <vertAlign val="subscript"/>
        <sz val="10"/>
        <color theme="1"/>
        <rFont val="Calibri"/>
        <family val="2"/>
        <scheme val="minor"/>
      </rPr>
      <t>2</t>
    </r>
    <r>
      <rPr>
        <b/>
        <sz val="10"/>
        <color theme="1"/>
        <rFont val="Calibri"/>
        <family val="2"/>
        <scheme val="minor"/>
      </rPr>
      <t>e/bbl crude oil</t>
    </r>
  </si>
  <si>
    <t>Low</t>
  </si>
  <si>
    <t>Expected</t>
  </si>
  <si>
    <t>High</t>
  </si>
  <si>
    <t>U.S. 2010 grid electricity GHG emissions factor</t>
  </si>
  <si>
    <t>Coal plant emissions factor</t>
  </si>
  <si>
    <t>UPSTREAM</t>
  </si>
  <si>
    <t>GATE-TO-GATE</t>
  </si>
  <si>
    <t>DOWNSTREAM</t>
  </si>
  <si>
    <t>TOTAL EMISSIONS</t>
  </si>
  <si>
    <t>RESERVOIR STORAGE</t>
  </si>
  <si>
    <t>PARAMETER</t>
  </si>
  <si>
    <t>REFERENCE</t>
  </si>
  <si>
    <r>
      <t>CO</t>
    </r>
    <r>
      <rPr>
        <vertAlign val="subscript"/>
        <sz val="10"/>
        <color theme="1"/>
        <rFont val="Calibri"/>
        <family val="2"/>
        <scheme val="minor"/>
      </rPr>
      <t>2</t>
    </r>
    <r>
      <rPr>
        <sz val="10"/>
        <color theme="1"/>
        <rFont val="Calibri"/>
        <family val="2"/>
        <scheme val="minor"/>
      </rPr>
      <t xml:space="preserve"> emissions from coal plant (with CO</t>
    </r>
    <r>
      <rPr>
        <vertAlign val="subscript"/>
        <sz val="10"/>
        <color theme="1"/>
        <rFont val="Calibri"/>
        <family val="2"/>
        <scheme val="minor"/>
      </rPr>
      <t>2</t>
    </r>
    <r>
      <rPr>
        <sz val="10"/>
        <color theme="1"/>
        <rFont val="Calibri"/>
        <family val="2"/>
        <scheme val="minor"/>
      </rPr>
      <t xml:space="preserve"> capture system)</t>
    </r>
  </si>
  <si>
    <r>
      <t>Coal plant emissions factor (with CO</t>
    </r>
    <r>
      <rPr>
        <vertAlign val="subscript"/>
        <sz val="10"/>
        <color theme="1"/>
        <rFont val="Calibri"/>
        <family val="2"/>
        <scheme val="minor"/>
      </rPr>
      <t>2</t>
    </r>
    <r>
      <rPr>
        <sz val="10"/>
        <color theme="1"/>
        <rFont val="Calibri"/>
        <family val="2"/>
        <scheme val="minor"/>
      </rPr>
      <t xml:space="preserve"> capture system)</t>
    </r>
  </si>
  <si>
    <t>Net life-cycle GHG emissions balance (refrigeration/fractionation)</t>
  </si>
  <si>
    <t>Net life-cycle GHG emissions balance (Ryan-Holmes)</t>
  </si>
  <si>
    <t>Net life-cycle GHG emissions balance (Membrane)</t>
  </si>
  <si>
    <t>EERC DISCLAIMER</t>
  </si>
  <si>
    <t>LEGAL NOTICE  This research report was prepared by the Energy &amp; Environmental Research Center (EERC), an agency of the University of North Dakota, as an account of work sponsored by the U.S. Department of Energy. Because of the research nature of the work performed, neither the EERC nor any of its employees makes any warranty, express or implied, or assumes any legal liability or responsibility for the accuracy, completeness, or usefulness of any information, apparatus, product, or process disclosed or represents that its use would not infringe privately owned rights. Reference herein to any specific commercial product, process, or service by trade name, trademark, manufacturer, or otherwise does not necessarily constitute or imply its endorsement or recommendation by the EERC.</t>
  </si>
  <si>
    <t>ACKNOWLEDGMENT</t>
  </si>
  <si>
    <t>DOE DISCLAIMER</t>
  </si>
  <si>
    <t>This report was prepared as an account of work sponsored by an agency of the United States Government. Neither the United States Government, nor any agency thereof, nor any of their employees, makes any warranty, express or implied, or assumes any legal liability or responsibility for the accuracy, completeness, or usefulness of any information, apparatus, product, or process disclosed, or represents that its use would not infringe privately owned rights. Reference herein to any specific commercial product, process, or service by trade name, trademark, manufacturer, or otherwise does not necessarily constitute or imply its endorsement, recommendation, or favoring by the United States Government or any agency thereof. The views and opinions of authors expressed herein do not necessarily state or reflect those of the United States Government or any agency thereof.</t>
  </si>
  <si>
    <t>The authors gratefully acknowledge the financial support of this work by the U.S. Department of Energy (DOE) National Energy Technology Laboratory (NETL) under Award No. DE-FC26-05NT42592. The authors also wish to thank the many members of the PCOR Partnership for their financial support.</t>
  </si>
  <si>
    <t>DESCRIPTION</t>
  </si>
  <si>
    <t>EXCEL WORKBOOK ORGANIZATION</t>
  </si>
  <si>
    <t>HOW TO CITE THIS DOCUMENT</t>
  </si>
  <si>
    <t>From Base Model, Row 31</t>
  </si>
  <si>
    <t>From Base Model, Row 19</t>
  </si>
  <si>
    <t>From Base Model, Row 22</t>
  </si>
  <si>
    <t>From Base Model, Row 23</t>
  </si>
  <si>
    <r>
      <t>Life-cycle GHG emission summary factor expressed in g CO</t>
    </r>
    <r>
      <rPr>
        <vertAlign val="subscript"/>
        <sz val="10"/>
        <color theme="1"/>
        <rFont val="Calibri"/>
        <family val="2"/>
        <scheme val="minor"/>
      </rPr>
      <t>2</t>
    </r>
    <r>
      <rPr>
        <sz val="10"/>
        <color theme="1"/>
        <rFont val="Calibri"/>
        <family val="2"/>
        <scheme val="minor"/>
      </rPr>
      <t>e/MJ combusted fuel for gasoline and diesel. Conventional gasoline and diesel emissions are taken from DOE NETL (2008). CO</t>
    </r>
    <r>
      <rPr>
        <vertAlign val="subscript"/>
        <sz val="10"/>
        <color theme="1"/>
        <rFont val="Calibri"/>
        <family val="2"/>
        <scheme val="minor"/>
      </rPr>
      <t>2</t>
    </r>
    <r>
      <rPr>
        <sz val="10"/>
        <color theme="1"/>
        <rFont val="Calibri"/>
        <family val="2"/>
        <scheme val="minor"/>
      </rPr>
      <t>-EOR gasoline and diesel emissions use the outputs from the CO</t>
    </r>
    <r>
      <rPr>
        <vertAlign val="subscript"/>
        <sz val="10"/>
        <color theme="1"/>
        <rFont val="Calibri"/>
        <family val="2"/>
        <scheme val="minor"/>
      </rPr>
      <t>2</t>
    </r>
    <r>
      <rPr>
        <sz val="10"/>
        <color theme="1"/>
        <rFont val="Calibri"/>
        <family val="2"/>
        <scheme val="minor"/>
      </rPr>
      <t>-EOR life cycle model for the Ryan–Holmes gas separation technology. GHG emissions avoided by electricity displacement are subtracted from the total emissions to yield the average net life cycle emissions (black diamond symbol). Error bars represent the low- and high-end member boundaries, as described in the text.</t>
    </r>
  </si>
  <si>
    <r>
      <t>Rubin, E. S.; Rao, A. B.; Chen, C., 2007. Cost and Performance of fossil fuel power plants with CO</t>
    </r>
    <r>
      <rPr>
        <b/>
        <vertAlign val="subscript"/>
        <sz val="11"/>
        <color theme="1"/>
        <rFont val="Calibri"/>
        <family val="2"/>
        <scheme val="minor"/>
      </rPr>
      <t>2</t>
    </r>
    <r>
      <rPr>
        <b/>
        <sz val="11"/>
        <color theme="1"/>
        <rFont val="Calibri"/>
        <family val="2"/>
        <scheme val="minor"/>
      </rPr>
      <t xml:space="preserve"> capture and storage. </t>
    </r>
    <r>
      <rPr>
        <b/>
        <i/>
        <sz val="11"/>
        <color theme="1"/>
        <rFont val="Calibri"/>
        <family val="2"/>
        <scheme val="minor"/>
      </rPr>
      <t>Energy Policy</t>
    </r>
    <r>
      <rPr>
        <b/>
        <sz val="11"/>
        <color theme="1"/>
        <rFont val="Calibri"/>
        <family val="2"/>
        <scheme val="minor"/>
      </rPr>
      <t>, 35 (9), 4444-4454.</t>
    </r>
  </si>
  <si>
    <t>As-fired properties of four U.S. coals from:</t>
  </si>
  <si>
    <r>
      <rPr>
        <b/>
        <sz val="11"/>
        <color theme="1"/>
        <rFont val="Calibri"/>
        <family val="2"/>
        <scheme val="minor"/>
      </rPr>
      <t>8. References -</t>
    </r>
    <r>
      <rPr>
        <sz val="11"/>
        <color theme="1"/>
        <rFont val="Calibri"/>
        <family val="2"/>
        <scheme val="minor"/>
      </rPr>
      <t xml:space="preserve"> The References worksheet lists the literature references that are cited in the Base Model.</t>
    </r>
  </si>
  <si>
    <t>This Excel workbook is organized into eight tabs (worksheets) as follows:</t>
  </si>
  <si>
    <r>
      <t>kg CO</t>
    </r>
    <r>
      <rPr>
        <vertAlign val="subscript"/>
        <sz val="9"/>
        <color theme="1"/>
        <rFont val="Calibri"/>
        <family val="2"/>
        <scheme val="minor"/>
      </rPr>
      <t>2</t>
    </r>
    <r>
      <rPr>
        <sz val="9"/>
        <color theme="1"/>
        <rFont val="Calibri"/>
        <family val="2"/>
        <scheme val="minor"/>
      </rPr>
      <t>e / m</t>
    </r>
    <r>
      <rPr>
        <vertAlign val="superscript"/>
        <sz val="9"/>
        <color theme="1"/>
        <rFont val="Calibri"/>
        <family val="2"/>
        <scheme val="minor"/>
      </rPr>
      <t>2</t>
    </r>
  </si>
  <si>
    <t>PROCESS SUM IDENTIFIER</t>
  </si>
  <si>
    <t>Base Model References</t>
  </si>
  <si>
    <t>2010 U.S. mix, delivered</t>
  </si>
  <si>
    <t>EIA (2015)</t>
  </si>
  <si>
    <t>Jaramillo et al. (2009); EPA (2015a)</t>
  </si>
  <si>
    <t>DOE NETL (2010b) from Gate-to-Gate model</t>
  </si>
  <si>
    <t>IEA (2007); Rubin et al. (2007); and DOE NETL (2013b)</t>
  </si>
  <si>
    <t>DOE NETL (2010b; 2013a) and Cooney et al. (2015)</t>
  </si>
  <si>
    <t>Correlation derived from DOE NETL (2013a)</t>
  </si>
  <si>
    <t>DOE NETL (2015) "Oilfield Gas, Water, and Oil Separation"</t>
  </si>
  <si>
    <r>
      <t>Assumes VOC = 100% pentanes (C</t>
    </r>
    <r>
      <rPr>
        <vertAlign val="subscript"/>
        <sz val="9"/>
        <color theme="1"/>
        <rFont val="Calibri"/>
        <family val="2"/>
        <scheme val="minor"/>
      </rPr>
      <t>5</t>
    </r>
    <r>
      <rPr>
        <sz val="9"/>
        <color theme="1"/>
        <rFont val="Calibri"/>
        <family val="2"/>
        <scheme val="minor"/>
      </rPr>
      <t>H</t>
    </r>
    <r>
      <rPr>
        <vertAlign val="subscript"/>
        <sz val="9"/>
        <color theme="1"/>
        <rFont val="Calibri"/>
        <family val="2"/>
        <scheme val="minor"/>
      </rPr>
      <t>12</t>
    </r>
    <r>
      <rPr>
        <sz val="9"/>
        <color theme="1"/>
        <rFont val="Calibri"/>
        <family val="2"/>
        <scheme val="minor"/>
      </rPr>
      <t>) and uses the stated combustion efficiency (DOE NETL, 2013a)</t>
    </r>
  </si>
  <si>
    <t>DOE NETL (2015) "Natural Gas, U.S. Mix 2010, Extraction and Transport"</t>
  </si>
  <si>
    <t>DOE NETL (2015) "Industrial Boiler, Natural Gas Fired, Over 100 Million BTU/hr"</t>
  </si>
  <si>
    <t>Cooney et al. (2015) and DOE NETL (2015) "Venting and Flaring of Gas from Vapor Recovery Unit"</t>
  </si>
  <si>
    <t>DOE NETL (2010a)</t>
  </si>
  <si>
    <t>DOE NETL (2015) "Ryan Holmes Gas Separation"</t>
  </si>
  <si>
    <t>DOE NETL (2015) "Diesel Fired Construction Equipment, Variable Horsepower"</t>
  </si>
  <si>
    <t>DOE NETL (2015) "Diesel, Production, Transport, and Refining"</t>
  </si>
  <si>
    <t>The Engineering Toolbox (2015)</t>
  </si>
  <si>
    <t>DOE NETL (2015) "NGL Extraction from EOR Gas - Refrigeration" with "refine_NGLs" equal to 1.</t>
  </si>
  <si>
    <t>DOE NETL (2015) "NGL Extraction from EOR Gas - Refrigeration"</t>
  </si>
  <si>
    <t>DOE NETL (2015) "Compressor, Single-Stage Centrifugal, Operation"</t>
  </si>
  <si>
    <t>DOE NETL (2015) "Carbon Dioxide Dehydration"</t>
  </si>
  <si>
    <t>DOE NETL (2015) "Gas Stream Chilling"</t>
  </si>
  <si>
    <t>Derived from DOE NETL (2015) "Membrane Separation of CO2 and Hydrocarbons"</t>
  </si>
  <si>
    <t>DOE NETL (2015) "Membrane Separation of CO2 and Hydrocarbons"</t>
  </si>
  <si>
    <t>DOE NETL (2015) "Post Membrane CO2 Recovery"</t>
  </si>
  <si>
    <t>DOE NETL (2008); Wang (2008)</t>
  </si>
  <si>
    <t>DOE NETL (2010b)</t>
  </si>
  <si>
    <t>DOE NETL (2008)</t>
  </si>
  <si>
    <r>
      <t>CO</t>
    </r>
    <r>
      <rPr>
        <b/>
        <vertAlign val="subscript"/>
        <sz val="11"/>
        <color theme="1"/>
        <rFont val="Calibri"/>
        <family val="2"/>
        <scheme val="minor"/>
      </rPr>
      <t>2</t>
    </r>
    <r>
      <rPr>
        <b/>
        <sz val="11"/>
        <color theme="1"/>
        <rFont val="Calibri"/>
        <family val="2"/>
        <scheme val="minor"/>
      </rPr>
      <t xml:space="preserve"> ENHANCED OIL RECOVERY LIFE CYCLE ANALYSIS MODEL</t>
    </r>
  </si>
  <si>
    <r>
      <rPr>
        <b/>
        <sz val="11"/>
        <color theme="1"/>
        <rFont val="Calibri"/>
        <family val="2"/>
        <scheme val="minor"/>
      </rPr>
      <t xml:space="preserve">2. Dashboard Summary – </t>
    </r>
    <r>
      <rPr>
        <sz val="11"/>
        <color theme="1"/>
        <rFont val="Calibri"/>
        <family val="2"/>
        <scheme val="minor"/>
      </rPr>
      <t>The Dashboard Summary worksheet captures key Base Model outputs into a table.  The Dashboard Summary presents emission factors in kg CO</t>
    </r>
    <r>
      <rPr>
        <vertAlign val="subscript"/>
        <sz val="11"/>
        <color theme="1"/>
        <rFont val="Calibri"/>
        <family val="2"/>
        <scheme val="minor"/>
      </rPr>
      <t>2</t>
    </r>
    <r>
      <rPr>
        <sz val="11"/>
        <color theme="1"/>
        <rFont val="Calibri"/>
        <family val="2"/>
        <scheme val="minor"/>
      </rPr>
      <t>e/bbl for upstream, gate-to-gate, and downstream segments.  It also presents the kg CO</t>
    </r>
    <r>
      <rPr>
        <vertAlign val="subscript"/>
        <sz val="11"/>
        <color theme="1"/>
        <rFont val="Calibri"/>
        <family val="2"/>
        <scheme val="minor"/>
      </rPr>
      <t>2</t>
    </r>
    <r>
      <rPr>
        <sz val="11"/>
        <color theme="1"/>
        <rFont val="Calibri"/>
        <family val="2"/>
        <scheme val="minor"/>
      </rPr>
      <t>e/bbl stored in the reservoir and the MWh of electricity coproduct generated as part of the electricity–oil system.  The Dashboard Summary worksheet is locked and cannot be modified.</t>
    </r>
  </si>
  <si>
    <r>
      <rPr>
        <b/>
        <sz val="11"/>
        <color theme="1"/>
        <rFont val="Calibri"/>
        <family val="2"/>
        <scheme val="minor"/>
      </rPr>
      <t xml:space="preserve">3. Coproduct Displacement – </t>
    </r>
    <r>
      <rPr>
        <sz val="11"/>
        <color theme="1"/>
        <rFont val="Calibri"/>
        <family val="2"/>
        <scheme val="minor"/>
      </rPr>
      <t>The Coproduct Displacement worksheet allocates the electricity coproduct via displacement and assumes 100% displacement of electricity, meaning that each new MWh produced displaces an existing MWh (i.e., a one-to-one replacement).  The source of the existing MWh that is displaced is the average 2010 U.S. electricity grid mix, which has an emission factor of 660 kg CO2e/MWh.  The user may modify this grid electricity GHG emission factor in the Base Model.  The coproduct Displacement worksheet is locked and cannot be modified.</t>
    </r>
  </si>
  <si>
    <r>
      <rPr>
        <b/>
        <sz val="11"/>
        <color theme="1"/>
        <rFont val="Calibri"/>
        <family val="2"/>
        <scheme val="minor"/>
      </rPr>
      <t xml:space="preserve">5. Unit Conversions – </t>
    </r>
    <r>
      <rPr>
        <sz val="11"/>
        <color theme="1"/>
        <rFont val="Calibri"/>
        <family val="2"/>
        <scheme val="minor"/>
      </rPr>
      <t>The Unit Conversions worksheet is used to convert units in the Base Model.  It is locked and cannot be modified with the exception of two cells: D15 and D16, which convert the kg of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respectively, to kg CO</t>
    </r>
    <r>
      <rPr>
        <vertAlign val="subscript"/>
        <sz val="11"/>
        <color theme="1"/>
        <rFont val="Calibri"/>
        <family val="2"/>
        <scheme val="minor"/>
      </rPr>
      <t>2</t>
    </r>
    <r>
      <rPr>
        <sz val="11"/>
        <color theme="1"/>
        <rFont val="Calibri"/>
        <family val="2"/>
        <scheme val="minor"/>
      </rPr>
      <t>e using the IPCC (2013) 100-year global warming potentials of 34 and 298, respectively.</t>
    </r>
  </si>
  <si>
    <r>
      <rPr>
        <b/>
        <sz val="11"/>
        <color theme="1"/>
        <rFont val="Calibri"/>
        <family val="2"/>
        <scheme val="minor"/>
      </rPr>
      <t xml:space="preserve">6. Coal-Type Lookup Table – </t>
    </r>
    <r>
      <rPr>
        <sz val="11"/>
        <color theme="1"/>
        <rFont val="Calibri"/>
        <family val="2"/>
        <scheme val="minor"/>
      </rPr>
      <t>The Coal-Type Lookup Table worksheet is a lookup table of as-fired properties of four U.S. coals from Rubin et al. (2007).  The cells specific to coal type, HHV in kJ/kg, and kg C/kg coal are unlocked, and users may modify these inputs to meet their site-specific needs.  All other cells are locked and cannot be modified.</t>
    </r>
  </si>
  <si>
    <r>
      <rPr>
        <b/>
        <sz val="11"/>
        <color theme="1"/>
        <rFont val="Calibri"/>
        <family val="2"/>
        <scheme val="minor"/>
      </rPr>
      <t xml:space="preserve">7. Brine and Gas Correlations – </t>
    </r>
    <r>
      <rPr>
        <sz val="11"/>
        <color theme="1"/>
        <rFont val="Calibri"/>
        <family val="2"/>
        <scheme val="minor"/>
      </rPr>
      <t>The Brine and Gas Correlations worksheet calculates the correlations between brine production and injection rates and crude oil recovery ratios using inputs from DOE NETL (2013a).  These correlations are used to estimate emissions from the electrical use of pumps for brine injection associated with the WAG flood and injection of excess brine into disposal wells.  The worksheet is locked and cannot be modified.</t>
    </r>
  </si>
  <si>
    <t>UPSTREAM: COAL MINING, PROCESSING, AND TRANSPORT</t>
  </si>
  <si>
    <t>UPSTREAM: TOTAL (SUM OF EACH SUBSEGMENT)</t>
  </si>
  <si>
    <t>Note: This portion of the model is taken directly from DOE NETL (2013a) and Cooney et al. (2015).  The fluid balances come from the industry data set work of Azzolina et al. (2015).</t>
  </si>
  <si>
    <t>GATE-TO-GATE: CONSTRUCTION (NOT CURRENTLY MODELED TAKEN DIRECTLY FROM COONEY ET AL. [2015])</t>
  </si>
  <si>
    <t>GATE-TO-GATE: WELL OPERATIONS – ARTIFICIAL LIFT</t>
  </si>
  <si>
    <t>Well Operations – Artificial Lift</t>
  </si>
  <si>
    <r>
      <t>GATE-TO-GATE: WELL OPERATIONS – CO</t>
    </r>
    <r>
      <rPr>
        <b/>
        <vertAlign val="subscript"/>
        <sz val="9"/>
        <color theme="1"/>
        <rFont val="Calibri"/>
        <family val="2"/>
        <scheme val="minor"/>
      </rPr>
      <t>2</t>
    </r>
    <r>
      <rPr>
        <b/>
        <sz val="9"/>
        <color theme="1"/>
        <rFont val="Calibri"/>
        <family val="2"/>
        <scheme val="minor"/>
      </rPr>
      <t xml:space="preserve"> COMPRESSION AND INJECTION ELECTRICTIY</t>
    </r>
  </si>
  <si>
    <r>
      <t>Well Operations – CO</t>
    </r>
    <r>
      <rPr>
        <vertAlign val="subscript"/>
        <sz val="9"/>
        <color theme="1"/>
        <rFont val="Calibri"/>
        <family val="2"/>
        <scheme val="minor"/>
      </rPr>
      <t>2</t>
    </r>
    <r>
      <rPr>
        <sz val="9"/>
        <color theme="1"/>
        <rFont val="Calibri"/>
        <family val="2"/>
        <scheme val="minor"/>
      </rPr>
      <t xml:space="preserve"> Compression and Injection Electricity</t>
    </r>
  </si>
  <si>
    <r>
      <t>Well Operations – CO</t>
    </r>
    <r>
      <rPr>
        <vertAlign val="subscript"/>
        <sz val="9"/>
        <color theme="1"/>
        <rFont val="Calibri"/>
        <family val="2"/>
        <scheme val="minor"/>
      </rPr>
      <t>2</t>
    </r>
    <r>
      <rPr>
        <sz val="9"/>
        <color theme="1"/>
        <rFont val="Calibri"/>
        <family val="2"/>
        <scheme val="minor"/>
      </rPr>
      <t xml:space="preserve"> Compressor Fugitives</t>
    </r>
  </si>
  <si>
    <t>Well Operations – Brine Injection Pump Electricity</t>
  </si>
  <si>
    <t>Oil, Gas, and Water Separation – Venting and Flaring</t>
  </si>
  <si>
    <t>Oil, Gas, and Water Separation – Natural Gas Uptream (Industrial Boiler)</t>
  </si>
  <si>
    <t>Oil, Gas, and Water Separation – Natural Gas Combustion (Industrial Boiler)</t>
  </si>
  <si>
    <t>Crude Storage – Venting and Flaring</t>
  </si>
  <si>
    <t>Brine Storage – Venting and Flaring</t>
  </si>
  <si>
    <t>Brine Disposal – Injection Well Electricity</t>
  </si>
  <si>
    <r>
      <t>GATE-TO-GATE: WELL OPERATIONS – CO</t>
    </r>
    <r>
      <rPr>
        <b/>
        <vertAlign val="subscript"/>
        <sz val="9"/>
        <color theme="1"/>
        <rFont val="Calibri"/>
        <family val="2"/>
        <scheme val="minor"/>
      </rPr>
      <t>2</t>
    </r>
    <r>
      <rPr>
        <b/>
        <sz val="9"/>
        <color theme="1"/>
        <rFont val="Calibri"/>
        <family val="2"/>
        <scheme val="minor"/>
      </rPr>
      <t xml:space="preserve"> COMPRESSOR FUGITIVE EMISSIONS</t>
    </r>
  </si>
  <si>
    <t>GATE-TO-GATE: WELL OPERATIONS – BRINE INJECTION PUMP ELECTRICITY</t>
  </si>
  <si>
    <t>GATE-TO-GATE: OIL, GAS, AND WATER SEPARATION – VENTING AND FLARING</t>
  </si>
  <si>
    <t>GATE-TO-GATE: OIL, GAS, AND WATER SEPARATION – NATURAL GAS UPSTREAM (INDUSTRIAL BOILER)</t>
  </si>
  <si>
    <t>GATE-TO-GATE: OIL, GAS, AND WATER SEPARATION – NATURAL GAS COMBUSTION (INDUSTRIAL BOILER)</t>
  </si>
  <si>
    <t>GATE-TO-GATE: BRINE STORAGE – VENTING AND FLARING</t>
  </si>
  <si>
    <t>GATE-TO-GATE: BRINE DISPOSAL – INJECTION WELL ELECTRICITY</t>
  </si>
  <si>
    <r>
      <t>Gas Processing (Ryan-Holmes) – CO</t>
    </r>
    <r>
      <rPr>
        <vertAlign val="subscript"/>
        <sz val="9"/>
        <color theme="1"/>
        <rFont val="Calibri"/>
        <family val="2"/>
        <scheme val="minor"/>
      </rPr>
      <t>2</t>
    </r>
    <r>
      <rPr>
        <sz val="9"/>
        <color theme="1"/>
        <rFont val="Calibri"/>
        <family val="2"/>
        <scheme val="minor"/>
      </rPr>
      <t xml:space="preserve"> Ready for Reinjection</t>
    </r>
  </si>
  <si>
    <t>Gas Processing (Ryan-Holmes) – Diesel Demand</t>
  </si>
  <si>
    <t>Gas Processing (Ryan-Holmes) – Diesel Upstream</t>
  </si>
  <si>
    <t>Gas Processing (Ryan-Holmes) – Diesel Combustion</t>
  </si>
  <si>
    <t>Gas Processing (Ryan-Holmes) – Natural Gas Combustion (Turbines and Compressors)</t>
  </si>
  <si>
    <t>Gas Processing (Ryan-Holmes) – Natural Gas Upstream</t>
  </si>
  <si>
    <t>Gas Processing (Ryan-Holmes) – NGL Production</t>
  </si>
  <si>
    <t>Gas Processing (Refrigeration/Fractionation) – EOR reinjection gas</t>
  </si>
  <si>
    <t>Gas Processing (Refrigeration/Fractionation) – Electricity</t>
  </si>
  <si>
    <t>Gas Processing (Refrigeration/Fractionation) – Natural Gas Upstream</t>
  </si>
  <si>
    <t>Gas Processing (Refrigeration/Fractionation) – Natural Gas Combustion (Industrial Boiler)</t>
  </si>
  <si>
    <t>Gas Processing (Refrigeration/Fractionation) – C3 to C5 Gas Production</t>
  </si>
  <si>
    <t>Gas Processing (Membrane) – Fluid for Compression</t>
  </si>
  <si>
    <t>Gas Processing (Membrane) – Compressor Electricity Upstream</t>
  </si>
  <si>
    <t>Gas Processing (Membrane) – Compressor Fugitive Emissions</t>
  </si>
  <si>
    <t>Gas Processing (Membrane) – Dehydration Electricity Upstream</t>
  </si>
  <si>
    <t>Gas Processing (Membrane) – Chiller Electricity Upstream</t>
  </si>
  <si>
    <t>Gas Processing (Membrane) – Membrane Separation</t>
  </si>
  <si>
    <r>
      <t>Gas Processing (Membrane) – Post-Membrane Amine CO</t>
    </r>
    <r>
      <rPr>
        <vertAlign val="subscript"/>
        <sz val="9"/>
        <color theme="1"/>
        <rFont val="Calibri"/>
        <family val="2"/>
        <scheme val="minor"/>
      </rPr>
      <t>2</t>
    </r>
    <r>
      <rPr>
        <sz val="9"/>
        <color theme="1"/>
        <rFont val="Calibri"/>
        <family val="2"/>
        <scheme val="minor"/>
      </rPr>
      <t xml:space="preserve"> Capture, Inflow</t>
    </r>
  </si>
  <si>
    <r>
      <t>Gas Processing (Membrane) – Post-Membrane Amine CO</t>
    </r>
    <r>
      <rPr>
        <vertAlign val="subscript"/>
        <sz val="9"/>
        <color theme="1"/>
        <rFont val="Calibri"/>
        <family val="2"/>
        <scheme val="minor"/>
      </rPr>
      <t>2</t>
    </r>
    <r>
      <rPr>
        <sz val="9"/>
        <color theme="1"/>
        <rFont val="Calibri"/>
        <family val="2"/>
        <scheme val="minor"/>
      </rPr>
      <t xml:space="preserve"> Capture, CO</t>
    </r>
    <r>
      <rPr>
        <vertAlign val="subscript"/>
        <sz val="9"/>
        <color theme="1"/>
        <rFont val="Calibri"/>
        <family val="2"/>
        <scheme val="minor"/>
      </rPr>
      <t>2</t>
    </r>
    <r>
      <rPr>
        <sz val="9"/>
        <color theme="1"/>
        <rFont val="Calibri"/>
        <family val="2"/>
        <scheme val="minor"/>
      </rPr>
      <t xml:space="preserve"> Recovery</t>
    </r>
  </si>
  <si>
    <r>
      <t>Gas Processing (Membrane) – Post-Membrane Amine CO</t>
    </r>
    <r>
      <rPr>
        <vertAlign val="subscript"/>
        <sz val="9"/>
        <color theme="1"/>
        <rFont val="Calibri"/>
        <family val="2"/>
        <scheme val="minor"/>
      </rPr>
      <t>2</t>
    </r>
    <r>
      <rPr>
        <sz val="9"/>
        <color theme="1"/>
        <rFont val="Calibri"/>
        <family val="2"/>
        <scheme val="minor"/>
      </rPr>
      <t xml:space="preserve"> Capture, Solvent Upstream</t>
    </r>
  </si>
  <si>
    <r>
      <t>Gas Processing (Membrane) – Post-Membrane Amine CO</t>
    </r>
    <r>
      <rPr>
        <vertAlign val="subscript"/>
        <sz val="9"/>
        <color theme="1"/>
        <rFont val="Calibri"/>
        <family val="2"/>
        <scheme val="minor"/>
      </rPr>
      <t>2</t>
    </r>
    <r>
      <rPr>
        <sz val="9"/>
        <color theme="1"/>
        <rFont val="Calibri"/>
        <family val="2"/>
        <scheme val="minor"/>
      </rPr>
      <t xml:space="preserve"> Capture, Natural Gas Upstream</t>
    </r>
  </si>
  <si>
    <r>
      <t>Gas Processing (Membrane) – Post-Membrane Amine CO</t>
    </r>
    <r>
      <rPr>
        <vertAlign val="subscript"/>
        <sz val="9"/>
        <color theme="1"/>
        <rFont val="Calibri"/>
        <family val="2"/>
        <scheme val="minor"/>
      </rPr>
      <t>2</t>
    </r>
    <r>
      <rPr>
        <sz val="9"/>
        <color theme="1"/>
        <rFont val="Calibri"/>
        <family val="2"/>
        <scheme val="minor"/>
      </rPr>
      <t xml:space="preserve"> Capture, Natural Gas Combustion</t>
    </r>
  </si>
  <si>
    <r>
      <t>Gas Processing (Membrane) – Post-Membrane Amine CO</t>
    </r>
    <r>
      <rPr>
        <vertAlign val="subscript"/>
        <sz val="9"/>
        <color theme="1"/>
        <rFont val="Calibri"/>
        <family val="2"/>
        <scheme val="minor"/>
      </rPr>
      <t>2</t>
    </r>
    <r>
      <rPr>
        <sz val="9"/>
        <color theme="1"/>
        <rFont val="Calibri"/>
        <family val="2"/>
        <scheme val="minor"/>
      </rPr>
      <t xml:space="preserve"> Capture, Sales Gas Stream (NGL)</t>
    </r>
  </si>
  <si>
    <r>
      <t>CO</t>
    </r>
    <r>
      <rPr>
        <vertAlign val="subscript"/>
        <sz val="9"/>
        <color theme="1"/>
        <rFont val="Calibri"/>
        <family val="2"/>
        <scheme val="minor"/>
      </rPr>
      <t>2</t>
    </r>
    <r>
      <rPr>
        <sz val="9"/>
        <color theme="1"/>
        <rFont val="Calibri"/>
        <family val="2"/>
        <scheme val="minor"/>
      </rPr>
      <t xml:space="preserve"> emissions associated with coal mining, processing, and transport</t>
    </r>
  </si>
  <si>
    <r>
      <t>CO</t>
    </r>
    <r>
      <rPr>
        <vertAlign val="subscript"/>
        <sz val="9"/>
        <color theme="1"/>
        <rFont val="Calibri"/>
        <family val="2"/>
        <scheme val="minor"/>
      </rPr>
      <t>2</t>
    </r>
    <r>
      <rPr>
        <sz val="9"/>
        <color theme="1"/>
        <rFont val="Calibri"/>
        <family val="2"/>
        <scheme val="minor"/>
      </rPr>
      <t xml:space="preserve"> emissions factor associated with coal mining, processing, and transport</t>
    </r>
  </si>
  <si>
    <r>
      <t>Daily CO</t>
    </r>
    <r>
      <rPr>
        <vertAlign val="subscript"/>
        <sz val="9"/>
        <color theme="1"/>
        <rFont val="Calibri"/>
        <family val="2"/>
        <scheme val="minor"/>
      </rPr>
      <t>2</t>
    </r>
    <r>
      <rPr>
        <sz val="9"/>
        <color theme="1"/>
        <rFont val="Calibri"/>
        <family val="2"/>
        <scheme val="minor"/>
      </rPr>
      <t xml:space="preserve"> production rate</t>
    </r>
  </si>
  <si>
    <r>
      <t>Daily CO</t>
    </r>
    <r>
      <rPr>
        <vertAlign val="subscript"/>
        <sz val="9"/>
        <color theme="1"/>
        <rFont val="Calibri"/>
        <family val="2"/>
        <scheme val="minor"/>
      </rPr>
      <t>2</t>
    </r>
    <r>
      <rPr>
        <sz val="9"/>
        <color theme="1"/>
        <rFont val="Calibri"/>
        <family val="2"/>
        <scheme val="minor"/>
      </rPr>
      <t xml:space="preserve"> injection rate</t>
    </r>
  </si>
  <si>
    <t>kg natural gas used by turbines and compressors</t>
  </si>
  <si>
    <t>DOE NETL (2015) "Crude Oil Storage Tank"</t>
  </si>
  <si>
    <r>
      <t>DOE NETL (2015) "Brine Water Management for Saline Aquifer CO</t>
    </r>
    <r>
      <rPr>
        <vertAlign val="subscript"/>
        <sz val="9"/>
        <color theme="1"/>
        <rFont val="Calibri"/>
        <family val="2"/>
        <scheme val="minor"/>
      </rPr>
      <t>2</t>
    </r>
    <r>
      <rPr>
        <sz val="9"/>
        <color theme="1"/>
        <rFont val="Calibri"/>
        <family val="2"/>
        <scheme val="minor"/>
      </rPr>
      <t xml:space="preserve"> Sequestration, Operations"</t>
    </r>
  </si>
  <si>
    <t>Derived from the mass of fluid for compression and the kg of fluid sent through the membrane</t>
  </si>
  <si>
    <t>Well operations, artificial lift</t>
  </si>
  <si>
    <r>
      <t>Well operations, CO</t>
    </r>
    <r>
      <rPr>
        <vertAlign val="subscript"/>
        <sz val="10"/>
        <color theme="1"/>
        <rFont val="Calibri"/>
        <family val="2"/>
        <scheme val="minor"/>
      </rPr>
      <t>2</t>
    </r>
    <r>
      <rPr>
        <sz val="10"/>
        <color theme="1"/>
        <rFont val="Calibri"/>
        <family val="2"/>
        <scheme val="minor"/>
      </rPr>
      <t xml:space="preserve"> compression, and injection (Fugitive emissions)</t>
    </r>
  </si>
  <si>
    <r>
      <t>Well operations, CO</t>
    </r>
    <r>
      <rPr>
        <vertAlign val="subscript"/>
        <sz val="10"/>
        <color theme="1"/>
        <rFont val="Calibri"/>
        <family val="2"/>
        <scheme val="minor"/>
      </rPr>
      <t>2</t>
    </r>
    <r>
      <rPr>
        <sz val="10"/>
        <color theme="1"/>
        <rFont val="Calibri"/>
        <family val="2"/>
        <scheme val="minor"/>
      </rPr>
      <t xml:space="preserve"> compression, and injection (Electricity)</t>
    </r>
  </si>
  <si>
    <t>Well operations, brine injection (Electricity)</t>
  </si>
  <si>
    <r>
      <t>kg/m</t>
    </r>
    <r>
      <rPr>
        <vertAlign val="superscript"/>
        <sz val="10"/>
        <color theme="1"/>
        <rFont val="Calibri"/>
        <family val="2"/>
        <scheme val="minor"/>
      </rPr>
      <t>3</t>
    </r>
  </si>
  <si>
    <r>
      <t>kg CO</t>
    </r>
    <r>
      <rPr>
        <vertAlign val="subscript"/>
        <sz val="10"/>
        <color theme="1"/>
        <rFont val="Calibri"/>
        <family val="2"/>
        <scheme val="minor"/>
      </rPr>
      <t>2</t>
    </r>
    <r>
      <rPr>
        <sz val="10"/>
        <color theme="1"/>
        <rFont val="Calibri"/>
        <family val="2"/>
        <scheme val="minor"/>
      </rPr>
      <t>/bbl</t>
    </r>
  </si>
  <si>
    <r>
      <t>g CO</t>
    </r>
    <r>
      <rPr>
        <vertAlign val="subscript"/>
        <sz val="10"/>
        <color theme="1"/>
        <rFont val="Calibri"/>
        <family val="2"/>
        <scheme val="minor"/>
      </rPr>
      <t>2</t>
    </r>
    <r>
      <rPr>
        <sz val="10"/>
        <color theme="1"/>
        <rFont val="Calibri"/>
        <family val="2"/>
        <scheme val="minor"/>
      </rPr>
      <t>/MJ</t>
    </r>
  </si>
  <si>
    <t>lb</t>
  </si>
  <si>
    <t>API [American Petroleum Institute], 2009, Compendium of greenhouse gas emissions estimation methodologies for the oil and natural gas industry: http://www.api.org/~/media/files/ehs/climate-change/2009_ghg_compendium.pdf (accessed July 2016).</t>
  </si>
  <si>
    <r>
      <t>Azzolina, N.A., Nakles, D.V., Gorecki, C.D., Peck, W.D., Ayash, S.C., Melzer, L.S., and Chatterjee, S., 2015, CO</t>
    </r>
    <r>
      <rPr>
        <vertAlign val="subscript"/>
        <sz val="11"/>
        <color theme="1"/>
        <rFont val="Calibri"/>
        <family val="2"/>
        <scheme val="minor"/>
      </rPr>
      <t>2</t>
    </r>
    <r>
      <rPr>
        <sz val="11"/>
        <color theme="1"/>
        <rFont val="Calibri"/>
        <family val="2"/>
        <scheme val="minor"/>
      </rPr>
      <t xml:space="preserve"> storage associated with CO</t>
    </r>
    <r>
      <rPr>
        <vertAlign val="subscript"/>
        <sz val="11"/>
        <color theme="1"/>
        <rFont val="Calibri"/>
        <family val="2"/>
        <scheme val="minor"/>
      </rPr>
      <t>2</t>
    </r>
    <r>
      <rPr>
        <sz val="11"/>
        <color theme="1"/>
        <rFont val="Calibri"/>
        <family val="2"/>
        <scheme val="minor"/>
      </rPr>
      <t xml:space="preserve"> enhanced oil recovery—a statistical analysis of historical operations: International Journal of Greenhouse Gas Control, v. 37, p. 384–397.</t>
    </r>
  </si>
  <si>
    <r>
      <t>Cooney, G., Littlefield, J., Marriott, J., and Skone, T.J., 2015, Evaluating the climate benefits of CO</t>
    </r>
    <r>
      <rPr>
        <vertAlign val="subscript"/>
        <sz val="11"/>
        <color theme="1"/>
        <rFont val="Calibri"/>
        <family val="2"/>
        <scheme val="minor"/>
      </rPr>
      <t>2</t>
    </r>
    <r>
      <rPr>
        <sz val="11"/>
        <color theme="1"/>
        <rFont val="Calibri"/>
        <family val="2"/>
        <scheme val="minor"/>
      </rPr>
      <t>-enhanced oil recovery using life cycle analysis: Environmental Science and Technology, v. 49, no. 12, p. 7491–7500.</t>
    </r>
  </si>
  <si>
    <t>DOE NETL [U.S. Department of Energy National Energy Technology Laboratory], 2008, Development of baseline data and analysis of life cycle greenhouse gas emissions of petroleum-based fuels: DOE/NETL-2009/1346, November 26, 2008.</t>
  </si>
  <si>
    <t>DOE NETL, 2010a, Carbon dioxide enhanced oil recovery—untapped domestic energy supply and long term carbon storage solution: Strategic Center for Natural Gas and Oil (SCNGO), National Energy Technology Laboratory, March, 2010.</t>
  </si>
  <si>
    <r>
      <t>DOE NETL, 2010b, An assessment of gate-to-gate environmental life cycle performance of water-alternating-gas CO</t>
    </r>
    <r>
      <rPr>
        <vertAlign val="subscript"/>
        <sz val="11"/>
        <color theme="1"/>
        <rFont val="Calibri"/>
        <family val="2"/>
        <scheme val="minor"/>
      </rPr>
      <t>2</t>
    </r>
    <r>
      <rPr>
        <sz val="11"/>
        <color theme="1"/>
        <rFont val="Calibri"/>
        <family val="2"/>
        <scheme val="minor"/>
      </rPr>
      <t>-enhanced oil recovery in the Permian Basin: National Energy Technology Laboratory, DOE/NETL-2010/1433, September 30, 2010.</t>
    </r>
  </si>
  <si>
    <r>
      <t>DOE NETL, 2013a, Gate-to-gate life cycle inventory and model of CO</t>
    </r>
    <r>
      <rPr>
        <vertAlign val="subscript"/>
        <sz val="11"/>
        <color theme="1"/>
        <rFont val="Calibri"/>
        <family val="2"/>
        <scheme val="minor"/>
      </rPr>
      <t>2</t>
    </r>
    <r>
      <rPr>
        <sz val="11"/>
        <color theme="1"/>
        <rFont val="Calibri"/>
        <family val="2"/>
        <scheme val="minor"/>
      </rPr>
      <t>-enhanced oil recovery: National Energy Technology Laboratory, DOE/NETL-2013/1599, September 30, 2013.</t>
    </r>
  </si>
  <si>
    <t>DOE NETL, 2013b, Cost and performance baseline for fossil energy plants, volume 1—bituminous coal and natural gas to electricity: DOE/NETL-2010/1397, September 2013.</t>
  </si>
  <si>
    <t>DOE NETL, 2015, Unit process library: https://www.netl.doe.gov/research/energy-analysis/life-cycle-analysis/unit-process-library (accessed July 2016).</t>
  </si>
  <si>
    <t>EIA [U.S. Energy Information Administration], 2015, How much coal, natural gas, or petroleum is used to generate a kilowatthour of electricity?: https://www.eia.gov/tools/faqs/faq.cfm?id=667&amp;t=2 (accessed July 2016).</t>
  </si>
  <si>
    <t>EPA [U.S. Environmental Protection Agency], 2015, Greenhouse gas equivalencies calculator: http://www2.epa.gov/energy/ghg-equivalencies-calculator-calculations-and-references (accessed October 2015).</t>
  </si>
  <si>
    <r>
      <t>IEA [International Energy Agency], 2007, CO</t>
    </r>
    <r>
      <rPr>
        <vertAlign val="subscript"/>
        <sz val="11"/>
        <color theme="1"/>
        <rFont val="Calibri"/>
        <family val="2"/>
        <scheme val="minor"/>
      </rPr>
      <t>2</t>
    </r>
    <r>
      <rPr>
        <sz val="11"/>
        <color theme="1"/>
        <rFont val="Calibri"/>
        <family val="2"/>
        <scheme val="minor"/>
      </rPr>
      <t xml:space="preserve"> capture ready plants: International Energy Agency Greenhouse Gas R&amp;D Programme, Technical Study, Report Number 2007/4, May 2007.</t>
    </r>
  </si>
  <si>
    <t xml:space="preserve">IPCC [Intergovernmental Panel on Climate Change], 2005, IPCC special report on carbon dioxide capture and storage: Prepared by Working Group III of the Intergovernmental Panel on Climate Change [Metz, B., 
Davidson, O., de Coninck, H.C., Loos, M., and Meyer, L.A. (eds.)]. Cambridge University
Press, Cambridge, United Kingdom, and New York, New York, USA, 442 p. </t>
  </si>
  <si>
    <t>Jaramillo, P., Griffin, W.M., and Matthews, H.S., 2007, Comparative life cycle air emissions of coal, domestic natural gas, LNG, and SNG for electricity generation: Environmental Science and Technology, v. 41, no. 17, p. 6290–6296.</t>
  </si>
  <si>
    <r>
      <t>Jaramillo, P., Griffin, W.M., and McCoy, S.T., 2009, Life cycle inventory of CO</t>
    </r>
    <r>
      <rPr>
        <vertAlign val="subscript"/>
        <sz val="11"/>
        <color theme="1"/>
        <rFont val="Calibri"/>
        <family val="2"/>
        <scheme val="minor"/>
      </rPr>
      <t>2</t>
    </r>
    <r>
      <rPr>
        <sz val="11"/>
        <color theme="1"/>
        <rFont val="Calibri"/>
        <family val="2"/>
        <scheme val="minor"/>
      </rPr>
      <t xml:space="preserve"> in an enhanced oil recovery system: Environmental Science and Technology, v. 43, p. 8027–8032.</t>
    </r>
  </si>
  <si>
    <t>Lamb, B.K., Edburg, S.L., Ferrara, T.W., Howard, T., Harrison, M.R., Kolb, C.E., Townsend-Small, A., Dyck, W., Possolo, A., and Whetstone, J.R., 2015, Direct measurements show decreasing methane emissions from natural gas local distribution systems in the United States: Environmental Science and Technology, v. 49, no., 8,  p. 5161–5169, DOI: 10.1021/es505116p.</t>
  </si>
  <si>
    <r>
      <t>McCoy, S.T., 2008, The economics of CO</t>
    </r>
    <r>
      <rPr>
        <vertAlign val="subscript"/>
        <sz val="11"/>
        <color theme="1"/>
        <rFont val="Calibri"/>
        <family val="2"/>
        <scheme val="minor"/>
      </rPr>
      <t>2</t>
    </r>
    <r>
      <rPr>
        <sz val="11"/>
        <color theme="1"/>
        <rFont val="Calibri"/>
        <family val="2"/>
        <scheme val="minor"/>
      </rPr>
      <t xml:space="preserve"> transport by pipeline and storage in saline aquifers and oil reservoirs [doctoral dissertation]: Carnegie Mellon University, Pittsburgh, Pennsylvania. </t>
    </r>
  </si>
  <si>
    <r>
      <t>Melzer, L.S., 2012, Carbon dioxide enhanced oil recovery (CO</t>
    </r>
    <r>
      <rPr>
        <vertAlign val="subscript"/>
        <sz val="11"/>
        <color theme="1"/>
        <rFont val="Calibri"/>
        <family val="2"/>
        <scheme val="minor"/>
      </rPr>
      <t>2</t>
    </r>
    <r>
      <rPr>
        <sz val="11"/>
        <color theme="1"/>
        <rFont val="Calibri"/>
        <family val="2"/>
        <scheme val="minor"/>
      </rPr>
      <t xml:space="preserve"> EOR)—factors involved in adding carbon capture, utilization and storage (CCUS) to enhanced oil recovery:  Report  for the National Enhanced Oil Recovery Initiative, Center for Climate and Energy Solutions,  Midland Texas, Melzer Consulting. http://neori.org/Melzer_CO2EOR_CCUS_Feb2012.pdf (accessed April 9, 2014).</t>
    </r>
  </si>
  <si>
    <t>Rogers, P.S.Z., and Pitzer, K.S., 1982, Volumetric properties of aqueous sodium chloride solutions: Journal of Physical and Chemical Reference Data, v. 11, no. 1, p. 15–81.</t>
  </si>
  <si>
    <r>
      <t>Rubin, E.S., Rao, A.B., and Chen, C., 2007, Cost and performance of fossil fuel power plants with CO</t>
    </r>
    <r>
      <rPr>
        <vertAlign val="subscript"/>
        <sz val="11"/>
        <color theme="1"/>
        <rFont val="Calibri"/>
        <family val="2"/>
        <scheme val="minor"/>
      </rPr>
      <t>2</t>
    </r>
    <r>
      <rPr>
        <sz val="11"/>
        <color theme="1"/>
        <rFont val="Calibri"/>
        <family val="2"/>
        <scheme val="minor"/>
      </rPr>
      <t xml:space="preserve"> capture and storage: Energy Policy, v. 35, no. 9, p. 4444–4454.</t>
    </r>
  </si>
  <si>
    <t>The Engineering Toolbox, 2015, Densities of some common liquids: http://www.engineeringtoolbox.com/liquids-densities-d_743.html (accessed July 2016).</t>
  </si>
  <si>
    <t>Wang, M., 2008, Greenhouse Gases, Regulated Emissions, and Energy Use in Transportation (GREET) model, Version 1.8b: U.S. Department of Energy, Argonne National Laboratory, Ann Arbor, Michigan.  www.transportation.anl.gov/software/GREET.</t>
  </si>
  <si>
    <r>
      <t>This workbook calculates the life cycle greenhouse gas (GHG) emissions associated with incremental oil produced via carbon dioxide enhanced oil recovery (CO</t>
    </r>
    <r>
      <rPr>
        <vertAlign val="subscript"/>
        <sz val="11"/>
        <color theme="1"/>
        <rFont val="Calibri"/>
        <family val="2"/>
        <scheme val="minor"/>
      </rPr>
      <t>2</t>
    </r>
    <r>
      <rPr>
        <sz val="11"/>
        <color theme="1"/>
        <rFont val="Calibri"/>
        <family val="2"/>
        <scheme val="minor"/>
      </rPr>
      <t xml:space="preserve"> EOR) where the CO</t>
    </r>
    <r>
      <rPr>
        <vertAlign val="subscript"/>
        <sz val="11"/>
        <color theme="1"/>
        <rFont val="Calibri"/>
        <family val="2"/>
        <scheme val="minor"/>
      </rPr>
      <t>2</t>
    </r>
    <r>
      <rPr>
        <sz val="11"/>
        <color theme="1"/>
        <rFont val="Calibri"/>
        <family val="2"/>
        <scheme val="minor"/>
      </rPr>
      <t xml:space="preserve"> is sourced from a coal-fired power plant.</t>
    </r>
  </si>
  <si>
    <r>
      <rPr>
        <b/>
        <sz val="11"/>
        <color theme="1"/>
        <rFont val="Calibri"/>
        <family val="2"/>
        <scheme val="minor"/>
      </rPr>
      <t xml:space="preserve">1. Base Model – </t>
    </r>
    <r>
      <rPr>
        <sz val="11"/>
        <color theme="1"/>
        <rFont val="Calibri"/>
        <family val="2"/>
        <scheme val="minor"/>
      </rPr>
      <t>The Base Model worksheet goes from upstream to downstream segments using line-by-line calculations in an accounting-style ledger to derive the component CO</t>
    </r>
    <r>
      <rPr>
        <vertAlign val="subscript"/>
        <sz val="11"/>
        <color theme="1"/>
        <rFont val="Calibri"/>
        <family val="2"/>
        <scheme val="minor"/>
      </rPr>
      <t>2</t>
    </r>
    <r>
      <rPr>
        <sz val="11"/>
        <color theme="1"/>
        <rFont val="Calibri"/>
        <family val="2"/>
        <scheme val="minor"/>
      </rPr>
      <t xml:space="preserve"> emission factors expressed as both mass of CO</t>
    </r>
    <r>
      <rPr>
        <vertAlign val="subscript"/>
        <sz val="11"/>
        <color theme="1"/>
        <rFont val="Calibri"/>
        <family val="2"/>
        <scheme val="minor"/>
      </rPr>
      <t>2</t>
    </r>
    <r>
      <rPr>
        <sz val="11"/>
        <color theme="1"/>
        <rFont val="Calibri"/>
        <family val="2"/>
        <scheme val="minor"/>
      </rPr>
      <t xml:space="preserve"> equivalents (kg CO</t>
    </r>
    <r>
      <rPr>
        <vertAlign val="subscript"/>
        <sz val="11"/>
        <color theme="1"/>
        <rFont val="Calibri"/>
        <family val="2"/>
        <scheme val="minor"/>
      </rPr>
      <t>2</t>
    </r>
    <r>
      <rPr>
        <sz val="11"/>
        <color theme="1"/>
        <rFont val="Calibri"/>
        <family val="2"/>
        <scheme val="minor"/>
      </rPr>
      <t>e) and mass of CO</t>
    </r>
    <r>
      <rPr>
        <vertAlign val="subscript"/>
        <sz val="11"/>
        <color theme="1"/>
        <rFont val="Calibri"/>
        <family val="2"/>
        <scheme val="minor"/>
      </rPr>
      <t>2</t>
    </r>
    <r>
      <rPr>
        <sz val="11"/>
        <color theme="1"/>
        <rFont val="Calibri"/>
        <family val="2"/>
        <scheme val="minor"/>
      </rPr>
      <t xml:space="preserve"> equivalents per barrel of crude oil produced (kg CO</t>
    </r>
    <r>
      <rPr>
        <vertAlign val="subscript"/>
        <sz val="11"/>
        <color theme="1"/>
        <rFont val="Calibri"/>
        <family val="2"/>
        <scheme val="minor"/>
      </rPr>
      <t>2</t>
    </r>
    <r>
      <rPr>
        <sz val="11"/>
        <color theme="1"/>
        <rFont val="Calibri"/>
        <family val="2"/>
        <scheme val="minor"/>
      </rPr>
      <t>e/bbl).  In the base model, inputs where the source is "Literature" are unlocked and may be modified by users to meet their site-specific needs. Other rows where the source is "Derived" are locked and may not be modified. These locked cells contain calculations, and the cells are locked to prevent the accidental overwriting of these calculations.</t>
    </r>
  </si>
  <si>
    <r>
      <rPr>
        <b/>
        <sz val="11"/>
        <color theme="1"/>
        <rFont val="Calibri"/>
        <family val="2"/>
        <scheme val="minor"/>
      </rPr>
      <t xml:space="preserve">4. Gasoline and Diesel – </t>
    </r>
    <r>
      <rPr>
        <sz val="11"/>
        <color theme="1"/>
        <rFont val="Calibri"/>
        <family val="2"/>
        <scheme val="minor"/>
      </rPr>
      <t>The Gasoline and Diesel worksheet tabulates the emissions specific to gasoline and diesel combustion to allow for direct comparison with conventional sources of these two fuels.  We compare the CO</t>
    </r>
    <r>
      <rPr>
        <vertAlign val="subscript"/>
        <sz val="11"/>
        <color theme="1"/>
        <rFont val="Calibri"/>
        <family val="2"/>
        <scheme val="minor"/>
      </rPr>
      <t>2</t>
    </r>
    <r>
      <rPr>
        <sz val="11"/>
        <color theme="1"/>
        <rFont val="Calibri"/>
        <family val="2"/>
        <scheme val="minor"/>
      </rPr>
      <t xml:space="preserve"> EOR life cycle GHG emissions per MJ of gasoline or diesel combusted against DOE NETL’s baseline for conventional gasoline and diesel (DOE NETL, 2008).  Gasoline and diesel represent approximately 45% and 23%, respectively, of the total refinery production in our model, so these liquid fuels make up the majority (68%) of refinery production in the United States. These tabulated emissions are summarized in a stacked bar graph located to the right of the table.  The Gasoline and Diesel worksheet is locked and cannot be modified.</t>
    </r>
  </si>
  <si>
    <r>
      <t>This document should be cited as: Azzolina, N.A., Peck, W.D., Hamling, J.A., Gorecki, C.D., Ayash, S.C., Doll, T.E., Nakles, D.V., and Melzer, L.S., 2016, How green is my oil? A detailed look at greenhouse gas accounting for CO</t>
    </r>
    <r>
      <rPr>
        <vertAlign val="subscript"/>
        <sz val="11"/>
        <color theme="1"/>
        <rFont val="Calibri"/>
        <family val="2"/>
        <scheme val="minor"/>
      </rPr>
      <t>2</t>
    </r>
    <r>
      <rPr>
        <sz val="11"/>
        <color theme="1"/>
        <rFont val="Calibri"/>
        <family val="2"/>
        <scheme val="minor"/>
      </rPr>
      <t>-enhanced oil recovery (CO</t>
    </r>
    <r>
      <rPr>
        <vertAlign val="subscript"/>
        <sz val="11"/>
        <color theme="1"/>
        <rFont val="Calibri"/>
        <family val="2"/>
        <scheme val="minor"/>
      </rPr>
      <t>2</t>
    </r>
    <r>
      <rPr>
        <sz val="11"/>
        <color theme="1"/>
        <rFont val="Calibri"/>
        <family val="2"/>
        <scheme val="minor"/>
      </rPr>
      <t>-EOR) sites: International Journal of Greenhouse Gas Control, v. 51,p. 369–379: last updated July 2016 (version 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</si>
</sst>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
    <numFmt numFmtId="165" formatCode="0.0000"/>
    <numFmt numFmtId="166" formatCode="0.000"/>
    <numFmt numFmtId="167" formatCode="0.000000"/>
    <numFmt numFmtId="168" formatCode="0.00000"/>
    <numFmt numFmtId="169" formatCode="0.0E+00"/>
    <numFmt numFmtId="170" formatCode="0.000E+00"/>
    <numFmt numFmtId="171" formatCode="0.0%"/>
    <numFmt numFmtId="172" formatCode="0.0.E+00"/>
    <numFmt numFmtId="173" formatCode="#,##0.0"/>
    <numFmt numFmtId="174" formatCode="#,##0.000"/>
  </numFmts>
  <fonts count="35" x14ac:knownFonts="1">
    <font>
      <sz val="11"/>
      <color theme="1"/>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vertAlign val="subscript"/>
      <sz val="10"/>
      <color theme="1"/>
      <name val="Calibri"/>
      <family val="2"/>
      <scheme val="minor"/>
    </font>
    <font>
      <sz val="11"/>
      <color theme="1"/>
      <name val="Calibri"/>
      <family val="2"/>
      <scheme val="minor"/>
    </font>
    <font>
      <b/>
      <sz val="11"/>
      <color theme="0"/>
      <name val="Calibri"/>
      <family val="2"/>
      <scheme val="minor"/>
    </font>
    <font>
      <vertAlign val="superscript"/>
      <sz val="10"/>
      <color theme="1"/>
      <name val="Calibri"/>
      <family val="2"/>
      <scheme val="minor"/>
    </font>
    <font>
      <b/>
      <sz val="12"/>
      <color theme="0"/>
      <name val="Calibri"/>
      <family val="2"/>
      <scheme val="minor"/>
    </font>
    <font>
      <vertAlign val="subscript"/>
      <sz val="11"/>
      <color theme="1"/>
      <name val="Calibri"/>
      <family val="2"/>
      <scheme val="minor"/>
    </font>
    <font>
      <b/>
      <sz val="10"/>
      <color theme="0"/>
      <name val="Calibri"/>
      <family val="2"/>
      <scheme val="minor"/>
    </font>
    <font>
      <sz val="11"/>
      <color theme="0"/>
      <name val="Calibri"/>
      <family val="2"/>
      <scheme val="minor"/>
    </font>
    <font>
      <i/>
      <sz val="11"/>
      <color theme="1"/>
      <name val="Calibri"/>
      <family val="2"/>
      <scheme val="minor"/>
    </font>
    <font>
      <vertAlign val="subscript"/>
      <sz val="11"/>
      <color theme="0"/>
      <name val="Calibri"/>
      <family val="2"/>
      <scheme val="minor"/>
    </font>
    <font>
      <b/>
      <vertAlign val="subscript"/>
      <sz val="12"/>
      <color theme="0"/>
      <name val="Calibri"/>
      <family val="2"/>
      <scheme val="minor"/>
    </font>
    <font>
      <i/>
      <sz val="10"/>
      <color theme="1"/>
      <name val="Calibri"/>
      <family val="2"/>
      <scheme val="minor"/>
    </font>
    <font>
      <sz val="9"/>
      <color theme="1"/>
      <name val="Calibri"/>
      <family val="2"/>
      <scheme val="minor"/>
    </font>
    <font>
      <b/>
      <sz val="9"/>
      <color theme="0"/>
      <name val="Calibri"/>
      <family val="2"/>
      <scheme val="minor"/>
    </font>
    <font>
      <vertAlign val="subscript"/>
      <sz val="9"/>
      <color theme="1"/>
      <name val="Calibri"/>
      <family val="2"/>
      <scheme val="minor"/>
    </font>
    <font>
      <b/>
      <sz val="9"/>
      <color theme="1"/>
      <name val="Calibri"/>
      <family val="2"/>
      <scheme val="minor"/>
    </font>
    <font>
      <vertAlign val="superscript"/>
      <sz val="9"/>
      <color theme="1"/>
      <name val="Calibri"/>
      <family val="2"/>
      <scheme val="minor"/>
    </font>
    <font>
      <i/>
      <sz val="9"/>
      <color theme="1"/>
      <name val="Calibri"/>
      <family val="2"/>
      <scheme val="minor"/>
    </font>
    <font>
      <sz val="10"/>
      <color theme="0"/>
      <name val="Calibri"/>
      <family val="2"/>
      <scheme val="minor"/>
    </font>
    <font>
      <sz val="10"/>
      <name val="Calibri"/>
      <family val="2"/>
      <scheme val="minor"/>
    </font>
    <font>
      <vertAlign val="subscript"/>
      <sz val="10"/>
      <name val="Calibri"/>
      <family val="2"/>
      <scheme val="minor"/>
    </font>
    <font>
      <b/>
      <vertAlign val="subscript"/>
      <sz val="9"/>
      <color theme="1"/>
      <name val="Calibri"/>
      <family val="2"/>
      <scheme val="minor"/>
    </font>
    <font>
      <b/>
      <sz val="9"/>
      <name val="Calibri"/>
      <family val="2"/>
      <scheme val="minor"/>
    </font>
    <font>
      <b/>
      <vertAlign val="subscript"/>
      <sz val="9"/>
      <name val="Calibri"/>
      <family val="2"/>
      <scheme val="minor"/>
    </font>
    <font>
      <b/>
      <vertAlign val="subscript"/>
      <sz val="10"/>
      <color theme="1"/>
      <name val="Calibri"/>
      <family val="2"/>
      <scheme val="minor"/>
    </font>
    <font>
      <sz val="11"/>
      <color rgb="FF222222"/>
      <name val="Calibri"/>
      <family val="2"/>
      <scheme val="minor"/>
    </font>
    <font>
      <b/>
      <sz val="11"/>
      <color rgb="FF222222"/>
      <name val="Calibri"/>
      <family val="2"/>
      <scheme val="minor"/>
    </font>
    <font>
      <b/>
      <vertAlign val="subscript"/>
      <sz val="11"/>
      <color theme="1"/>
      <name val="Calibri"/>
      <family val="2"/>
      <scheme val="minor"/>
    </font>
    <font>
      <b/>
      <i/>
      <sz val="11"/>
      <color theme="1"/>
      <name val="Calibri"/>
      <family val="2"/>
      <scheme val="minor"/>
    </font>
    <font>
      <sz val="9"/>
      <color indexed="81"/>
      <name val="Tahoma"/>
      <family val="2"/>
    </font>
    <font>
      <b/>
      <sz val="9"/>
      <color indexed="81"/>
      <name val="Tahoma"/>
      <family val="2"/>
    </font>
  </fonts>
  <fills count="14">
    <fill>
      <patternFill patternType="none"/>
    </fill>
    <fill>
      <patternFill patternType="gray125"/>
    </fill>
    <fill>
      <patternFill patternType="solid">
        <fgColor rgb="FFFFFF00"/>
        <bgColor indexed="64"/>
      </patternFill>
    </fill>
    <fill>
      <patternFill patternType="solid">
        <fgColor rgb="FF00FFFF"/>
        <bgColor indexed="64"/>
      </patternFill>
    </fill>
    <fill>
      <patternFill patternType="solid">
        <fgColor rgb="FF002060"/>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FFFF99"/>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s>
  <borders count="4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9" fontId="5" fillId="0" borderId="0" applyFont="0" applyFill="0" applyBorder="0" applyAlignment="0" applyProtection="0"/>
  </cellStyleXfs>
  <cellXfs count="350">
    <xf numFmtId="0" fontId="0" fillId="0" borderId="0" xfId="0"/>
    <xf numFmtId="0" fontId="0" fillId="0" borderId="3" xfId="0" applyBorder="1" applyAlignment="1">
      <alignment horizontal="center"/>
    </xf>
    <xf numFmtId="4" fontId="0" fillId="0" borderId="3" xfId="0" applyNumberFormat="1" applyBorder="1" applyAlignment="1">
      <alignment horizontal="center"/>
    </xf>
    <xf numFmtId="0" fontId="11" fillId="4" borderId="0" xfId="0" applyFont="1" applyFill="1" applyBorder="1" applyAlignment="1">
      <alignment horizontal="center"/>
    </xf>
    <xf numFmtId="0" fontId="11" fillId="4" borderId="0" xfId="0" applyFont="1" applyFill="1"/>
    <xf numFmtId="0" fontId="11" fillId="4" borderId="1" xfId="0" applyFont="1" applyFill="1" applyBorder="1" applyAlignment="1">
      <alignment horizontal="center"/>
    </xf>
    <xf numFmtId="3" fontId="1" fillId="0" borderId="0" xfId="0" applyNumberFormat="1" applyFont="1" applyBorder="1" applyAlignment="1">
      <alignment horizontal="center"/>
    </xf>
    <xf numFmtId="1" fontId="1" fillId="0" borderId="0" xfId="0" applyNumberFormat="1" applyFont="1" applyBorder="1" applyAlignment="1">
      <alignment horizontal="right" indent="3"/>
    </xf>
    <xf numFmtId="1" fontId="1" fillId="0" borderId="1" xfId="0" applyNumberFormat="1" applyFont="1" applyBorder="1" applyAlignment="1">
      <alignment horizontal="right" indent="3"/>
    </xf>
    <xf numFmtId="2" fontId="0" fillId="9" borderId="5" xfId="0" applyNumberFormat="1" applyFill="1" applyBorder="1" applyAlignment="1">
      <alignment horizontal="center"/>
    </xf>
    <xf numFmtId="164" fontId="0" fillId="9" borderId="2" xfId="0" applyNumberFormat="1" applyFill="1" applyBorder="1" applyAlignment="1">
      <alignment horizontal="center"/>
    </xf>
    <xf numFmtId="166" fontId="0" fillId="9" borderId="6" xfId="0" applyNumberFormat="1" applyFill="1" applyBorder="1" applyAlignment="1">
      <alignment horizontal="center"/>
    </xf>
    <xf numFmtId="2" fontId="0" fillId="9" borderId="9" xfId="0" applyNumberFormat="1" applyFill="1" applyBorder="1" applyAlignment="1">
      <alignment horizontal="center"/>
    </xf>
    <xf numFmtId="164" fontId="0" fillId="9" borderId="1" xfId="0" applyNumberFormat="1" applyFill="1" applyBorder="1" applyAlignment="1">
      <alignment horizontal="center"/>
    </xf>
    <xf numFmtId="166" fontId="0" fillId="9" borderId="10" xfId="0" applyNumberFormat="1" applyFill="1" applyBorder="1" applyAlignment="1">
      <alignment horizontal="center"/>
    </xf>
    <xf numFmtId="2" fontId="0" fillId="9" borderId="11" xfId="0" applyNumberFormat="1" applyFill="1" applyBorder="1" applyAlignment="1">
      <alignment horizontal="center"/>
    </xf>
    <xf numFmtId="164" fontId="0" fillId="9" borderId="4" xfId="0" applyNumberFormat="1" applyFill="1" applyBorder="1" applyAlignment="1">
      <alignment horizontal="center"/>
    </xf>
    <xf numFmtId="166" fontId="0" fillId="9" borderId="12" xfId="0" applyNumberFormat="1" applyFill="1" applyBorder="1" applyAlignment="1">
      <alignment horizontal="center"/>
    </xf>
    <xf numFmtId="0" fontId="16" fillId="0" borderId="0" xfId="0" applyFont="1" applyAlignment="1">
      <alignment horizontal="center"/>
    </xf>
    <xf numFmtId="0" fontId="16" fillId="0" borderId="0" xfId="0" applyFont="1"/>
    <xf numFmtId="0" fontId="16" fillId="0" borderId="0" xfId="0" applyFont="1" applyFill="1"/>
    <xf numFmtId="0" fontId="19" fillId="0" borderId="0" xfId="0" applyFont="1"/>
    <xf numFmtId="0" fontId="17" fillId="4" borderId="3" xfId="0" applyFont="1" applyFill="1" applyBorder="1" applyAlignment="1">
      <alignment horizontal="center" vertical="center"/>
    </xf>
    <xf numFmtId="0" fontId="19" fillId="0" borderId="0" xfId="0" applyFont="1" applyAlignment="1">
      <alignment horizontal="center" vertical="center"/>
    </xf>
    <xf numFmtId="0" fontId="16" fillId="0" borderId="3" xfId="0" applyFont="1" applyBorder="1" applyAlignment="1">
      <alignment horizontal="center" vertical="center"/>
    </xf>
    <xf numFmtId="164" fontId="16" fillId="0" borderId="3" xfId="0" applyNumberFormat="1" applyFont="1" applyBorder="1" applyAlignment="1">
      <alignment horizontal="center" vertical="center"/>
    </xf>
    <xf numFmtId="0" fontId="16" fillId="0" borderId="3" xfId="0" applyFont="1" applyBorder="1" applyAlignment="1">
      <alignment vertical="center"/>
    </xf>
    <xf numFmtId="164" fontId="16" fillId="0" borderId="3" xfId="0" applyNumberFormat="1" applyFont="1" applyBorder="1" applyAlignment="1">
      <alignment horizontal="center"/>
    </xf>
    <xf numFmtId="1" fontId="16" fillId="0" borderId="3" xfId="0" applyNumberFormat="1" applyFont="1" applyBorder="1" applyAlignment="1">
      <alignment horizontal="center"/>
    </xf>
    <xf numFmtId="3" fontId="16" fillId="0" borderId="3" xfId="0" applyNumberFormat="1" applyFont="1" applyBorder="1" applyAlignment="1">
      <alignment horizontal="center"/>
    </xf>
    <xf numFmtId="173" fontId="16" fillId="0" borderId="3" xfId="0" applyNumberFormat="1" applyFont="1" applyBorder="1" applyAlignment="1">
      <alignment horizontal="center"/>
    </xf>
    <xf numFmtId="0" fontId="16" fillId="0" borderId="3" xfId="0" applyFont="1" applyBorder="1" applyAlignment="1">
      <alignment horizontal="center"/>
    </xf>
    <xf numFmtId="3" fontId="16" fillId="0" borderId="3" xfId="0" applyNumberFormat="1" applyFont="1" applyBorder="1" applyAlignment="1">
      <alignment horizontal="center" vertical="center"/>
    </xf>
    <xf numFmtId="0" fontId="16" fillId="0" borderId="3" xfId="0" applyFont="1" applyBorder="1" applyAlignment="1">
      <alignment horizontal="center" vertical="center"/>
    </xf>
    <xf numFmtId="166" fontId="16" fillId="0" borderId="3" xfId="0" applyNumberFormat="1" applyFont="1" applyBorder="1" applyAlignment="1">
      <alignment horizontal="center" vertical="center"/>
    </xf>
    <xf numFmtId="166" fontId="16" fillId="0" borderId="3" xfId="0" applyNumberFormat="1" applyFont="1" applyBorder="1" applyAlignment="1">
      <alignment horizontal="center"/>
    </xf>
    <xf numFmtId="171" fontId="16" fillId="0" borderId="3" xfId="1" applyNumberFormat="1" applyFont="1" applyBorder="1" applyAlignment="1">
      <alignment horizontal="center" vertical="center"/>
    </xf>
    <xf numFmtId="171" fontId="16" fillId="0" borderId="3" xfId="1" applyNumberFormat="1" applyFont="1" applyBorder="1" applyAlignment="1">
      <alignment horizontal="center"/>
    </xf>
    <xf numFmtId="1" fontId="16" fillId="0" borderId="3" xfId="0" applyNumberFormat="1" applyFont="1" applyBorder="1" applyAlignment="1">
      <alignment horizontal="center" vertical="center"/>
    </xf>
    <xf numFmtId="9" fontId="16" fillId="0" borderId="3" xfId="1" applyFont="1" applyBorder="1" applyAlignment="1">
      <alignment horizontal="center" vertical="center"/>
    </xf>
    <xf numFmtId="9" fontId="16" fillId="0" borderId="3" xfId="1" applyFont="1" applyBorder="1" applyAlignment="1">
      <alignment horizontal="center"/>
    </xf>
    <xf numFmtId="2" fontId="16" fillId="0" borderId="3" xfId="0" applyNumberFormat="1" applyFont="1" applyBorder="1" applyAlignment="1">
      <alignment horizontal="center" vertical="center"/>
    </xf>
    <xf numFmtId="2" fontId="16" fillId="0" borderId="3" xfId="0" applyNumberFormat="1" applyFont="1" applyBorder="1" applyAlignment="1">
      <alignment horizontal="center"/>
    </xf>
    <xf numFmtId="11" fontId="16" fillId="0" borderId="3" xfId="0" applyNumberFormat="1" applyFont="1" applyBorder="1" applyAlignment="1">
      <alignment horizontal="center" vertical="center"/>
    </xf>
    <xf numFmtId="11" fontId="16" fillId="0" borderId="3" xfId="0" applyNumberFormat="1" applyFont="1" applyBorder="1" applyAlignment="1">
      <alignment horizontal="center"/>
    </xf>
    <xf numFmtId="173" fontId="16" fillId="0" borderId="3" xfId="0" applyNumberFormat="1" applyFont="1" applyBorder="1" applyAlignment="1">
      <alignment horizontal="center" vertical="center"/>
    </xf>
    <xf numFmtId="0" fontId="26" fillId="0" borderId="0" xfId="0" applyFont="1"/>
    <xf numFmtId="0" fontId="16" fillId="2" borderId="0" xfId="0" applyFont="1" applyFill="1" applyAlignment="1">
      <alignment horizontal="left" vertical="center"/>
    </xf>
    <xf numFmtId="0" fontId="16" fillId="2" borderId="0" xfId="0" applyFont="1" applyFill="1" applyAlignment="1">
      <alignment horizontal="center" vertical="center"/>
    </xf>
    <xf numFmtId="0" fontId="16" fillId="0" borderId="0" xfId="0" applyFont="1" applyAlignment="1">
      <alignment horizontal="center" vertical="center"/>
    </xf>
    <xf numFmtId="0" fontId="16" fillId="0" borderId="0" xfId="0" applyFont="1" applyAlignment="1">
      <alignment vertical="center"/>
    </xf>
    <xf numFmtId="0" fontId="16" fillId="0" borderId="3" xfId="0" applyFont="1" applyFill="1" applyBorder="1" applyAlignment="1">
      <alignment horizontal="center" vertical="center"/>
    </xf>
    <xf numFmtId="0" fontId="16" fillId="3" borderId="3" xfId="0" applyFont="1" applyFill="1" applyBorder="1" applyAlignment="1">
      <alignment vertical="center"/>
    </xf>
    <xf numFmtId="3" fontId="16" fillId="0" borderId="3" xfId="1" applyNumberFormat="1" applyFont="1" applyBorder="1" applyAlignment="1">
      <alignment horizontal="center"/>
    </xf>
    <xf numFmtId="173" fontId="16" fillId="0" borderId="3" xfId="1" applyNumberFormat="1" applyFont="1" applyBorder="1" applyAlignment="1">
      <alignment horizontal="center"/>
    </xf>
    <xf numFmtId="164" fontId="16" fillId="0" borderId="3" xfId="1" applyNumberFormat="1" applyFont="1" applyBorder="1" applyAlignment="1">
      <alignment horizontal="center" vertical="center"/>
    </xf>
    <xf numFmtId="174" fontId="16" fillId="0" borderId="3" xfId="0" applyNumberFormat="1" applyFont="1" applyBorder="1" applyAlignment="1">
      <alignment horizontal="center"/>
    </xf>
    <xf numFmtId="4" fontId="16" fillId="0" borderId="3" xfId="0" applyNumberFormat="1" applyFont="1" applyBorder="1" applyAlignment="1">
      <alignment horizontal="center"/>
    </xf>
    <xf numFmtId="9" fontId="16" fillId="0" borderId="3" xfId="0" applyNumberFormat="1" applyFont="1" applyBorder="1" applyAlignment="1">
      <alignment horizontal="center"/>
    </xf>
    <xf numFmtId="11" fontId="16" fillId="0" borderId="3" xfId="0" applyNumberFormat="1" applyFont="1" applyFill="1" applyBorder="1" applyAlignment="1">
      <alignment horizontal="center" vertical="center"/>
    </xf>
    <xf numFmtId="0" fontId="16" fillId="0" borderId="3" xfId="0" applyFont="1" applyFill="1" applyBorder="1" applyAlignment="1">
      <alignment vertical="center"/>
    </xf>
    <xf numFmtId="11" fontId="16" fillId="0" borderId="3" xfId="0" applyNumberFormat="1" applyFont="1" applyFill="1" applyBorder="1" applyAlignment="1">
      <alignment horizontal="center"/>
    </xf>
    <xf numFmtId="3" fontId="16" fillId="0" borderId="3" xfId="0" applyNumberFormat="1" applyFont="1" applyFill="1" applyBorder="1" applyAlignment="1">
      <alignment horizontal="center" vertical="center"/>
    </xf>
    <xf numFmtId="9" fontId="16" fillId="0" borderId="3" xfId="1" applyNumberFormat="1" applyFont="1" applyBorder="1" applyAlignment="1">
      <alignment horizontal="center" vertical="center"/>
    </xf>
    <xf numFmtId="0" fontId="26" fillId="5" borderId="3" xfId="0" applyFont="1" applyFill="1" applyBorder="1" applyAlignment="1">
      <alignment horizontal="center" vertical="center"/>
    </xf>
    <xf numFmtId="173" fontId="26" fillId="5" borderId="3" xfId="0" applyNumberFormat="1" applyFont="1" applyFill="1" applyBorder="1" applyAlignment="1">
      <alignment horizontal="center"/>
    </xf>
    <xf numFmtId="169" fontId="16" fillId="0" borderId="3" xfId="0" applyNumberFormat="1" applyFont="1" applyBorder="1" applyAlignment="1">
      <alignment horizontal="center" vertical="center"/>
    </xf>
    <xf numFmtId="170" fontId="16" fillId="0" borderId="3" xfId="0" applyNumberFormat="1" applyFont="1" applyBorder="1" applyAlignment="1">
      <alignment horizontal="center" vertical="center"/>
    </xf>
    <xf numFmtId="0" fontId="26" fillId="6" borderId="3" xfId="0" applyFont="1" applyFill="1" applyBorder="1" applyAlignment="1">
      <alignment horizontal="center" vertical="center"/>
    </xf>
    <xf numFmtId="0" fontId="26" fillId="8" borderId="3" xfId="0" applyFont="1" applyFill="1" applyBorder="1" applyAlignment="1">
      <alignment horizontal="center" vertical="center"/>
    </xf>
    <xf numFmtId="0" fontId="19" fillId="8" borderId="11" xfId="0" applyFont="1" applyFill="1" applyBorder="1" applyAlignment="1">
      <alignment vertical="center"/>
    </xf>
    <xf numFmtId="0" fontId="19" fillId="8" borderId="4" xfId="0" applyFont="1" applyFill="1" applyBorder="1" applyAlignment="1">
      <alignment vertical="center"/>
    </xf>
    <xf numFmtId="0" fontId="19" fillId="8" borderId="12" xfId="0" applyFont="1" applyFill="1" applyBorder="1" applyAlignment="1">
      <alignment vertical="center"/>
    </xf>
    <xf numFmtId="0" fontId="26" fillId="8" borderId="11" xfId="0" applyFont="1" applyFill="1" applyBorder="1" applyAlignment="1">
      <alignment vertical="center"/>
    </xf>
    <xf numFmtId="0" fontId="26" fillId="8" borderId="4" xfId="0" applyFont="1" applyFill="1" applyBorder="1" applyAlignment="1">
      <alignment vertical="center"/>
    </xf>
    <xf numFmtId="0" fontId="26" fillId="8" borderId="12" xfId="0" applyFont="1" applyFill="1" applyBorder="1" applyAlignment="1">
      <alignment vertical="center"/>
    </xf>
    <xf numFmtId="3" fontId="26" fillId="8" borderId="3" xfId="0" applyNumberFormat="1" applyFont="1" applyFill="1" applyBorder="1" applyAlignment="1">
      <alignment horizontal="center"/>
    </xf>
    <xf numFmtId="0" fontId="19" fillId="5" borderId="11" xfId="0" applyFont="1" applyFill="1" applyBorder="1" applyAlignment="1">
      <alignment vertical="center"/>
    </xf>
    <xf numFmtId="0" fontId="19" fillId="5" borderId="4" xfId="0" applyFont="1" applyFill="1" applyBorder="1" applyAlignment="1">
      <alignment vertical="center"/>
    </xf>
    <xf numFmtId="0" fontId="19" fillId="5" borderId="12" xfId="0" applyFont="1" applyFill="1" applyBorder="1" applyAlignment="1">
      <alignment vertical="center"/>
    </xf>
    <xf numFmtId="0" fontId="26" fillId="5" borderId="11" xfId="0" applyFont="1" applyFill="1" applyBorder="1" applyAlignment="1">
      <alignment vertical="center"/>
    </xf>
    <xf numFmtId="0" fontId="26" fillId="5" borderId="4" xfId="0" applyFont="1" applyFill="1" applyBorder="1" applyAlignment="1">
      <alignment vertical="center"/>
    </xf>
    <xf numFmtId="0" fontId="26" fillId="5" borderId="12" xfId="0" applyFont="1" applyFill="1" applyBorder="1" applyAlignment="1">
      <alignment vertical="center"/>
    </xf>
    <xf numFmtId="0" fontId="19" fillId="6" borderId="11" xfId="0" applyFont="1" applyFill="1" applyBorder="1" applyAlignment="1">
      <alignment vertical="center"/>
    </xf>
    <xf numFmtId="0" fontId="19" fillId="6" borderId="4" xfId="0" applyFont="1" applyFill="1" applyBorder="1" applyAlignment="1">
      <alignment vertical="center"/>
    </xf>
    <xf numFmtId="0" fontId="19" fillId="6" borderId="12" xfId="0" applyFont="1" applyFill="1" applyBorder="1" applyAlignment="1">
      <alignment vertical="center"/>
    </xf>
    <xf numFmtId="0" fontId="26" fillId="6" borderId="11" xfId="0" applyFont="1" applyFill="1" applyBorder="1" applyAlignment="1">
      <alignment vertical="center"/>
    </xf>
    <xf numFmtId="0" fontId="26" fillId="6" borderId="4" xfId="0" applyFont="1" applyFill="1" applyBorder="1" applyAlignment="1">
      <alignment vertical="center"/>
    </xf>
    <xf numFmtId="0" fontId="26" fillId="6" borderId="12" xfId="0" applyFont="1" applyFill="1" applyBorder="1" applyAlignment="1">
      <alignment vertical="center"/>
    </xf>
    <xf numFmtId="3" fontId="26" fillId="6" borderId="3" xfId="0" applyNumberFormat="1" applyFont="1" applyFill="1" applyBorder="1" applyAlignment="1">
      <alignment horizontal="center"/>
    </xf>
    <xf numFmtId="0" fontId="19" fillId="8" borderId="3" xfId="0" applyFont="1" applyFill="1" applyBorder="1" applyAlignment="1">
      <alignment vertical="center"/>
    </xf>
    <xf numFmtId="0" fontId="19" fillId="5" borderId="3" xfId="0" applyFont="1" applyFill="1" applyBorder="1" applyAlignment="1">
      <alignment vertical="center"/>
    </xf>
    <xf numFmtId="3" fontId="16" fillId="0" borderId="3" xfId="0" applyNumberFormat="1" applyFont="1" applyFill="1" applyBorder="1" applyAlignment="1">
      <alignment horizontal="center"/>
    </xf>
    <xf numFmtId="166" fontId="16" fillId="0" borderId="3" xfId="0" applyNumberFormat="1" applyFont="1" applyFill="1" applyBorder="1" applyAlignment="1">
      <alignment horizontal="center" vertical="center"/>
    </xf>
    <xf numFmtId="173" fontId="16" fillId="0" borderId="3" xfId="0" applyNumberFormat="1" applyFont="1" applyFill="1" applyBorder="1" applyAlignment="1">
      <alignment horizontal="center"/>
    </xf>
    <xf numFmtId="3" fontId="1" fillId="0" borderId="0" xfId="0" applyNumberFormat="1" applyFont="1" applyBorder="1" applyAlignment="1">
      <alignment horizontal="right" indent="2"/>
    </xf>
    <xf numFmtId="0" fontId="10" fillId="4" borderId="15" xfId="0" applyFont="1" applyFill="1" applyBorder="1" applyAlignment="1">
      <alignment horizontal="center"/>
    </xf>
    <xf numFmtId="0" fontId="10" fillId="4" borderId="16" xfId="0" applyFont="1" applyFill="1" applyBorder="1" applyAlignment="1">
      <alignment horizontal="center"/>
    </xf>
    <xf numFmtId="3" fontId="23" fillId="0" borderId="15" xfId="0" applyNumberFormat="1" applyFont="1" applyFill="1" applyBorder="1" applyAlignment="1">
      <alignment horizontal="right" indent="3"/>
    </xf>
    <xf numFmtId="3" fontId="23" fillId="0" borderId="16" xfId="0" applyNumberFormat="1" applyFont="1" applyFill="1" applyBorder="1" applyAlignment="1">
      <alignment horizontal="right" indent="3"/>
    </xf>
    <xf numFmtId="1" fontId="1" fillId="0" borderId="15" xfId="0" applyNumberFormat="1" applyFont="1" applyBorder="1" applyAlignment="1">
      <alignment horizontal="right" indent="3"/>
    </xf>
    <xf numFmtId="1" fontId="1" fillId="0" borderId="16" xfId="0" applyNumberFormat="1" applyFont="1" applyBorder="1" applyAlignment="1">
      <alignment horizontal="right" indent="3"/>
    </xf>
    <xf numFmtId="3" fontId="1" fillId="0" borderId="15" xfId="0" applyNumberFormat="1" applyFont="1" applyBorder="1" applyAlignment="1">
      <alignment horizontal="right" indent="3"/>
    </xf>
    <xf numFmtId="3" fontId="1" fillId="0" borderId="16" xfId="0" applyNumberFormat="1" applyFont="1" applyBorder="1" applyAlignment="1">
      <alignment horizontal="right" indent="3"/>
    </xf>
    <xf numFmtId="3" fontId="1" fillId="0" borderId="17" xfId="0" applyNumberFormat="1" applyFont="1" applyBorder="1" applyAlignment="1">
      <alignment horizontal="right" indent="3"/>
    </xf>
    <xf numFmtId="3" fontId="1" fillId="0" borderId="18" xfId="0" applyNumberFormat="1" applyFont="1" applyBorder="1" applyAlignment="1">
      <alignment horizontal="right" indent="3"/>
    </xf>
    <xf numFmtId="3" fontId="1" fillId="0" borderId="19" xfId="0" applyNumberFormat="1" applyFont="1" applyBorder="1" applyAlignment="1">
      <alignment horizontal="right" indent="3"/>
    </xf>
    <xf numFmtId="3" fontId="1" fillId="0" borderId="20" xfId="0" applyNumberFormat="1" applyFont="1" applyBorder="1" applyAlignment="1">
      <alignment horizontal="right" indent="3"/>
    </xf>
    <xf numFmtId="0" fontId="1" fillId="0" borderId="22" xfId="0" applyFont="1" applyFill="1" applyBorder="1" applyAlignment="1">
      <alignment horizontal="center"/>
    </xf>
    <xf numFmtId="0" fontId="1" fillId="0" borderId="22" xfId="0" applyFont="1" applyBorder="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10" fillId="4" borderId="21" xfId="0" applyFont="1" applyFill="1" applyBorder="1" applyAlignment="1">
      <alignment horizontal="center"/>
    </xf>
    <xf numFmtId="0" fontId="10" fillId="4" borderId="22" xfId="0" applyFont="1" applyFill="1" applyBorder="1" applyAlignment="1">
      <alignment horizontal="center"/>
    </xf>
    <xf numFmtId="0" fontId="23" fillId="0" borderId="22" xfId="0" applyFont="1" applyFill="1" applyBorder="1" applyAlignment="1">
      <alignment horizontal="left"/>
    </xf>
    <xf numFmtId="0" fontId="1" fillId="0" borderId="22" xfId="0" applyFont="1" applyBorder="1"/>
    <xf numFmtId="0" fontId="1" fillId="0" borderId="23" xfId="0" applyFont="1" applyBorder="1"/>
    <xf numFmtId="0" fontId="1" fillId="0" borderId="22" xfId="0" applyFont="1" applyFill="1" applyBorder="1" applyAlignment="1">
      <alignment horizontal="right"/>
    </xf>
    <xf numFmtId="0" fontId="1" fillId="0" borderId="24" xfId="0" applyFont="1" applyFill="1" applyBorder="1" applyAlignment="1">
      <alignment horizontal="right"/>
    </xf>
    <xf numFmtId="0" fontId="16" fillId="0" borderId="3" xfId="0" applyFont="1" applyBorder="1" applyAlignment="1">
      <alignment horizontal="center" vertical="center"/>
    </xf>
    <xf numFmtId="0" fontId="0" fillId="12" borderId="0" xfId="0" applyFill="1" applyAlignment="1"/>
    <xf numFmtId="0" fontId="30" fillId="12" borderId="0" xfId="0" applyFont="1" applyFill="1" applyAlignment="1">
      <alignment horizontal="justify" vertical="center"/>
    </xf>
    <xf numFmtId="0" fontId="3" fillId="12" borderId="0" xfId="0" applyFont="1" applyFill="1" applyAlignment="1">
      <alignment horizontal="center"/>
    </xf>
    <xf numFmtId="0" fontId="0" fillId="12" borderId="0" xfId="0" applyFill="1" applyAlignment="1">
      <alignment horizontal="center"/>
    </xf>
    <xf numFmtId="0" fontId="1" fillId="12" borderId="0" xfId="0" applyFont="1" applyFill="1" applyBorder="1"/>
    <xf numFmtId="0" fontId="1" fillId="12" borderId="0" xfId="0" applyFont="1" applyFill="1" applyBorder="1" applyAlignment="1">
      <alignment horizontal="right" indent="3"/>
    </xf>
    <xf numFmtId="164" fontId="1" fillId="12" borderId="0" xfId="0" applyNumberFormat="1" applyFont="1" applyFill="1" applyBorder="1" applyAlignment="1">
      <alignment horizontal="right" indent="3"/>
    </xf>
    <xf numFmtId="0" fontId="1" fillId="0" borderId="15" xfId="0" applyFont="1" applyBorder="1"/>
    <xf numFmtId="0" fontId="1" fillId="0" borderId="15" xfId="0" applyFont="1" applyBorder="1" applyAlignment="1">
      <alignment horizontal="left" vertical="center"/>
    </xf>
    <xf numFmtId="0" fontId="1" fillId="0" borderId="17" xfId="0" applyFont="1" applyBorder="1" applyAlignment="1">
      <alignment horizontal="left" vertical="center"/>
    </xf>
    <xf numFmtId="1" fontId="1" fillId="0" borderId="18" xfId="0" applyNumberFormat="1" applyFont="1" applyBorder="1" applyAlignment="1">
      <alignment horizontal="right" indent="3"/>
    </xf>
    <xf numFmtId="0" fontId="1" fillId="0" borderId="19" xfId="0" applyFont="1" applyBorder="1" applyAlignment="1">
      <alignment horizontal="right" vertical="center"/>
    </xf>
    <xf numFmtId="1" fontId="1" fillId="0" borderId="26" xfId="0" applyNumberFormat="1" applyFont="1" applyBorder="1" applyAlignment="1">
      <alignment horizontal="right" indent="3"/>
    </xf>
    <xf numFmtId="1" fontId="1" fillId="0" borderId="20" xfId="0" applyNumberFormat="1" applyFont="1" applyBorder="1" applyAlignment="1">
      <alignment horizontal="right" indent="3"/>
    </xf>
    <xf numFmtId="1" fontId="1" fillId="12" borderId="0" xfId="0" applyNumberFormat="1" applyFont="1" applyFill="1" applyBorder="1" applyAlignment="1">
      <alignment horizontal="right" indent="3"/>
    </xf>
    <xf numFmtId="0" fontId="1" fillId="0" borderId="17" xfId="0" applyFont="1" applyBorder="1"/>
    <xf numFmtId="0" fontId="1" fillId="0" borderId="15" xfId="0" applyFont="1" applyBorder="1" applyAlignment="1">
      <alignment horizontal="right" vertical="center"/>
    </xf>
    <xf numFmtId="0" fontId="1" fillId="12" borderId="15" xfId="0" applyFont="1" applyFill="1" applyBorder="1"/>
    <xf numFmtId="1" fontId="1" fillId="12" borderId="16" xfId="0" applyNumberFormat="1" applyFont="1" applyFill="1" applyBorder="1" applyAlignment="1">
      <alignment horizontal="right" indent="3"/>
    </xf>
    <xf numFmtId="0" fontId="2" fillId="10" borderId="13" xfId="0" applyFont="1" applyFill="1" applyBorder="1" applyAlignment="1">
      <alignment horizontal="center"/>
    </xf>
    <xf numFmtId="0" fontId="2" fillId="9" borderId="25" xfId="0" applyFont="1" applyFill="1" applyBorder="1" applyAlignment="1">
      <alignment horizontal="center"/>
    </xf>
    <xf numFmtId="0" fontId="2" fillId="11" borderId="14" xfId="0" applyFont="1" applyFill="1" applyBorder="1" applyAlignment="1">
      <alignment horizontal="center"/>
    </xf>
    <xf numFmtId="0" fontId="1" fillId="12" borderId="0" xfId="0" applyFont="1" applyFill="1" applyBorder="1" applyAlignment="1">
      <alignment horizontal="right" vertical="center"/>
    </xf>
    <xf numFmtId="0" fontId="1" fillId="0" borderId="19" xfId="0" applyFont="1" applyBorder="1"/>
    <xf numFmtId="0" fontId="1" fillId="0" borderId="19" xfId="0" applyFont="1" applyBorder="1" applyAlignment="1">
      <alignment horizontal="right"/>
    </xf>
    <xf numFmtId="3" fontId="1" fillId="0" borderId="26" xfId="0" applyNumberFormat="1" applyFont="1" applyBorder="1" applyAlignment="1">
      <alignment horizontal="right" indent="3"/>
    </xf>
    <xf numFmtId="0" fontId="1" fillId="12" borderId="0" xfId="0" applyFont="1" applyFill="1"/>
    <xf numFmtId="0" fontId="1" fillId="12" borderId="0" xfId="0" applyFont="1" applyFill="1" applyAlignment="1">
      <alignment horizontal="center"/>
    </xf>
    <xf numFmtId="0" fontId="1" fillId="12" borderId="0" xfId="0" applyFont="1" applyFill="1" applyBorder="1" applyAlignment="1">
      <alignment horizontal="right"/>
    </xf>
    <xf numFmtId="0" fontId="10" fillId="4" borderId="13" xfId="0" applyFont="1" applyFill="1" applyBorder="1" applyAlignment="1">
      <alignment horizontal="center"/>
    </xf>
    <xf numFmtId="0" fontId="2" fillId="10" borderId="25" xfId="0" applyFont="1" applyFill="1" applyBorder="1" applyAlignment="1">
      <alignment horizontal="center"/>
    </xf>
    <xf numFmtId="0" fontId="2" fillId="11" borderId="25" xfId="0" applyFont="1" applyFill="1" applyBorder="1" applyAlignment="1">
      <alignment horizontal="center"/>
    </xf>
    <xf numFmtId="164" fontId="10" fillId="4" borderId="25" xfId="0" applyNumberFormat="1" applyFont="1" applyFill="1" applyBorder="1" applyAlignment="1">
      <alignment horizontal="center"/>
    </xf>
    <xf numFmtId="0" fontId="10" fillId="4" borderId="14" xfId="0" applyFont="1" applyFill="1" applyBorder="1" applyAlignment="1">
      <alignment horizontal="center"/>
    </xf>
    <xf numFmtId="0" fontId="1" fillId="0" borderId="0" xfId="0" applyFont="1" applyBorder="1" applyAlignment="1">
      <alignment horizontal="center"/>
    </xf>
    <xf numFmtId="0" fontId="1" fillId="0" borderId="16" xfId="0" applyFont="1" applyBorder="1" applyAlignment="1">
      <alignment horizontal="center"/>
    </xf>
    <xf numFmtId="1" fontId="1" fillId="0" borderId="0" xfId="0" applyNumberFormat="1" applyFont="1" applyBorder="1" applyAlignment="1">
      <alignment horizontal="right" indent="2"/>
    </xf>
    <xf numFmtId="1" fontId="1" fillId="0" borderId="0" xfId="0" applyNumberFormat="1" applyFont="1" applyBorder="1" applyAlignment="1">
      <alignment horizontal="center"/>
    </xf>
    <xf numFmtId="0" fontId="1" fillId="0" borderId="15" xfId="0" applyFont="1" applyBorder="1" applyAlignment="1">
      <alignment horizontal="left"/>
    </xf>
    <xf numFmtId="0" fontId="1" fillId="0" borderId="19" xfId="0" applyFont="1" applyBorder="1" applyAlignment="1">
      <alignment horizontal="left"/>
    </xf>
    <xf numFmtId="3" fontId="1" fillId="0" borderId="26" xfId="0" applyNumberFormat="1" applyFont="1" applyBorder="1" applyAlignment="1">
      <alignment horizontal="right" indent="2"/>
    </xf>
    <xf numFmtId="1" fontId="1" fillId="0" borderId="26" xfId="0" applyNumberFormat="1" applyFont="1" applyBorder="1" applyAlignment="1">
      <alignment horizontal="center"/>
    </xf>
    <xf numFmtId="0" fontId="1" fillId="0" borderId="20" xfId="0" applyFont="1" applyBorder="1" applyAlignment="1">
      <alignment horizontal="center"/>
    </xf>
    <xf numFmtId="0" fontId="1" fillId="12" borderId="0" xfId="0" applyFont="1" applyFill="1" applyBorder="1" applyAlignment="1">
      <alignment horizontal="right" indent="2"/>
    </xf>
    <xf numFmtId="0" fontId="1" fillId="12" borderId="0" xfId="0" applyFont="1" applyFill="1" applyBorder="1" applyAlignment="1">
      <alignment horizontal="center"/>
    </xf>
    <xf numFmtId="0" fontId="1" fillId="12" borderId="16" xfId="0" applyFont="1" applyFill="1" applyBorder="1" applyAlignment="1">
      <alignment horizontal="center"/>
    </xf>
    <xf numFmtId="1" fontId="1" fillId="0" borderId="0" xfId="0" applyNumberFormat="1" applyFont="1" applyBorder="1" applyAlignment="1" applyProtection="1">
      <alignment horizontal="right" indent="2"/>
    </xf>
    <xf numFmtId="3" fontId="1" fillId="12" borderId="0" xfId="0" applyNumberFormat="1" applyFont="1" applyFill="1"/>
    <xf numFmtId="3" fontId="22" fillId="12" borderId="0" xfId="0" applyNumberFormat="1" applyFont="1" applyFill="1" applyAlignment="1">
      <alignment horizontal="right" indent="3"/>
    </xf>
    <xf numFmtId="0" fontId="1" fillId="0" borderId="13" xfId="0" applyFont="1" applyFill="1" applyBorder="1" applyAlignment="1">
      <alignment horizontal="center"/>
    </xf>
    <xf numFmtId="0" fontId="1" fillId="0" borderId="14" xfId="0" applyFont="1" applyFill="1" applyBorder="1" applyAlignment="1">
      <alignment horizontal="center"/>
    </xf>
    <xf numFmtId="0" fontId="1" fillId="12" borderId="0" xfId="0" applyFont="1" applyFill="1" applyAlignment="1">
      <alignment horizontal="left"/>
    </xf>
    <xf numFmtId="0" fontId="0" fillId="12" borderId="0" xfId="0" applyFill="1"/>
    <xf numFmtId="0" fontId="6" fillId="4" borderId="30" xfId="0" applyFont="1" applyFill="1" applyBorder="1" applyAlignment="1">
      <alignment horizontal="center"/>
    </xf>
    <xf numFmtId="0" fontId="6" fillId="4" borderId="31" xfId="0" applyFont="1" applyFill="1" applyBorder="1" applyAlignment="1">
      <alignment horizontal="center"/>
    </xf>
    <xf numFmtId="0" fontId="6" fillId="4" borderId="32" xfId="0" applyFont="1" applyFill="1" applyBorder="1" applyAlignment="1">
      <alignment horizontal="center"/>
    </xf>
    <xf numFmtId="3" fontId="0" fillId="0" borderId="34" xfId="0" applyNumberFormat="1" applyBorder="1" applyAlignment="1">
      <alignment horizontal="center"/>
    </xf>
    <xf numFmtId="0" fontId="0" fillId="0" borderId="36" xfId="0" applyBorder="1" applyAlignment="1">
      <alignment horizontal="center"/>
    </xf>
    <xf numFmtId="4" fontId="0" fillId="0" borderId="36" xfId="0" applyNumberFormat="1" applyBorder="1" applyAlignment="1">
      <alignment horizontal="center"/>
    </xf>
    <xf numFmtId="3" fontId="0" fillId="0" borderId="37" xfId="0" applyNumberFormat="1" applyBorder="1" applyAlignment="1">
      <alignment horizontal="center"/>
    </xf>
    <xf numFmtId="3" fontId="0" fillId="0" borderId="3" xfId="0" applyNumberFormat="1" applyBorder="1" applyAlignment="1" applyProtection="1">
      <alignment horizontal="center"/>
      <protection locked="0"/>
    </xf>
    <xf numFmtId="3" fontId="0" fillId="0" borderId="36" xfId="0" applyNumberFormat="1" applyBorder="1" applyAlignment="1" applyProtection="1">
      <alignment horizontal="center"/>
      <protection locked="0"/>
    </xf>
    <xf numFmtId="165" fontId="0" fillId="0" borderId="3" xfId="0" applyNumberFormat="1" applyBorder="1" applyAlignment="1" applyProtection="1">
      <alignment horizontal="center"/>
      <protection locked="0"/>
    </xf>
    <xf numFmtId="165" fontId="0" fillId="0" borderId="36" xfId="0" applyNumberFormat="1" applyBorder="1" applyAlignment="1" applyProtection="1">
      <alignment horizontal="center"/>
      <protection locked="0"/>
    </xf>
    <xf numFmtId="0" fontId="0" fillId="0" borderId="33" xfId="0" applyBorder="1" applyAlignment="1" applyProtection="1">
      <alignment horizontal="center"/>
      <protection locked="0"/>
    </xf>
    <xf numFmtId="0" fontId="0" fillId="0" borderId="35" xfId="0" applyBorder="1" applyAlignment="1" applyProtection="1">
      <alignment horizontal="center"/>
      <protection locked="0"/>
    </xf>
    <xf numFmtId="0" fontId="0" fillId="0" borderId="13" xfId="0" applyBorder="1" applyAlignment="1">
      <alignment horizontal="right"/>
    </xf>
    <xf numFmtId="0" fontId="0" fillId="0" borderId="25" xfId="0" applyBorder="1" applyAlignment="1">
      <alignment horizontal="center"/>
    </xf>
    <xf numFmtId="0" fontId="0" fillId="0" borderId="14" xfId="0" applyBorder="1" applyAlignment="1">
      <alignment horizontal="center"/>
    </xf>
    <xf numFmtId="0" fontId="0" fillId="0" borderId="15" xfId="0" applyBorder="1" applyAlignment="1">
      <alignment horizontal="right"/>
    </xf>
    <xf numFmtId="0" fontId="0" fillId="0" borderId="0" xfId="0" applyBorder="1" applyAlignment="1">
      <alignment horizontal="center"/>
    </xf>
    <xf numFmtId="0" fontId="0" fillId="0" borderId="16" xfId="0" applyBorder="1" applyAlignment="1">
      <alignment horizontal="center"/>
    </xf>
    <xf numFmtId="0" fontId="11" fillId="4" borderId="15" xfId="0" applyFont="1" applyFill="1" applyBorder="1" applyAlignment="1">
      <alignment horizontal="center"/>
    </xf>
    <xf numFmtId="0" fontId="11" fillId="4" borderId="16" xfId="0" applyFont="1" applyFill="1" applyBorder="1" applyAlignment="1">
      <alignment horizontal="center"/>
    </xf>
    <xf numFmtId="0" fontId="11" fillId="4" borderId="16" xfId="0" applyFont="1" applyFill="1" applyBorder="1"/>
    <xf numFmtId="0" fontId="11" fillId="4" borderId="17" xfId="0" applyFont="1" applyFill="1" applyBorder="1" applyAlignment="1">
      <alignment horizontal="center"/>
    </xf>
    <xf numFmtId="0" fontId="11" fillId="4" borderId="18" xfId="0" applyFont="1" applyFill="1" applyBorder="1" applyAlignment="1">
      <alignment horizontal="center"/>
    </xf>
    <xf numFmtId="2" fontId="0" fillId="0" borderId="15" xfId="0" applyNumberFormat="1" applyBorder="1" applyAlignment="1">
      <alignment horizontal="center"/>
    </xf>
    <xf numFmtId="164" fontId="0" fillId="0" borderId="0" xfId="0" applyNumberFormat="1" applyBorder="1" applyAlignment="1">
      <alignment horizontal="center"/>
    </xf>
    <xf numFmtId="166" fontId="0" fillId="0" borderId="16" xfId="0" applyNumberFormat="1" applyBorder="1" applyAlignment="1">
      <alignment horizontal="center"/>
    </xf>
    <xf numFmtId="2" fontId="0" fillId="9" borderId="38" xfId="0" applyNumberFormat="1" applyFill="1" applyBorder="1" applyAlignment="1">
      <alignment horizontal="center"/>
    </xf>
    <xf numFmtId="166" fontId="0" fillId="9" borderId="39" xfId="0" applyNumberFormat="1" applyFill="1" applyBorder="1" applyAlignment="1">
      <alignment horizontal="center"/>
    </xf>
    <xf numFmtId="2" fontId="0" fillId="9" borderId="17" xfId="0" applyNumberFormat="1" applyFill="1" applyBorder="1" applyAlignment="1">
      <alignment horizontal="center"/>
    </xf>
    <xf numFmtId="166" fontId="0" fillId="9" borderId="18" xfId="0" applyNumberFormat="1" applyFill="1" applyBorder="1" applyAlignment="1">
      <alignment horizontal="center"/>
    </xf>
    <xf numFmtId="2" fontId="0" fillId="9" borderId="40" xfId="0" applyNumberFormat="1" applyFill="1" applyBorder="1" applyAlignment="1">
      <alignment horizontal="center"/>
    </xf>
    <xf numFmtId="166" fontId="0" fillId="9" borderId="41" xfId="0" applyNumberFormat="1" applyFill="1" applyBorder="1" applyAlignment="1">
      <alignment horizontal="center"/>
    </xf>
    <xf numFmtId="2" fontId="0" fillId="0" borderId="19" xfId="0" applyNumberFormat="1" applyBorder="1" applyAlignment="1">
      <alignment horizontal="center"/>
    </xf>
    <xf numFmtId="164" fontId="0" fillId="0" borderId="26" xfId="0" applyNumberFormat="1" applyBorder="1" applyAlignment="1">
      <alignment horizontal="center"/>
    </xf>
    <xf numFmtId="166" fontId="0" fillId="0" borderId="20" xfId="0" applyNumberFormat="1" applyBorder="1" applyAlignment="1">
      <alignment horizontal="center"/>
    </xf>
    <xf numFmtId="9" fontId="16" fillId="0" borderId="3" xfId="1" applyFont="1" applyBorder="1" applyAlignment="1" applyProtection="1">
      <alignment horizontal="center" vertical="center"/>
      <protection locked="0"/>
    </xf>
    <xf numFmtId="2" fontId="16" fillId="0" borderId="3" xfId="0" applyNumberFormat="1" applyFont="1" applyBorder="1" applyAlignment="1" applyProtection="1">
      <alignment horizontal="center" vertical="center"/>
      <protection locked="0"/>
    </xf>
    <xf numFmtId="1"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73" fontId="16" fillId="0" borderId="3" xfId="0" applyNumberFormat="1" applyFont="1" applyBorder="1" applyAlignment="1" applyProtection="1">
      <alignment horizontal="center" vertical="center"/>
      <protection locked="0"/>
    </xf>
    <xf numFmtId="3" fontId="16" fillId="0" borderId="3" xfId="0" applyNumberFormat="1" applyFont="1" applyBorder="1" applyAlignment="1" applyProtection="1">
      <alignment horizontal="center" vertical="center"/>
      <protection locked="0"/>
    </xf>
    <xf numFmtId="3" fontId="16" fillId="3" borderId="3" xfId="0" applyNumberFormat="1" applyFont="1" applyFill="1" applyBorder="1" applyAlignment="1" applyProtection="1">
      <alignment horizontal="center" vertical="center"/>
      <protection locked="0"/>
    </xf>
    <xf numFmtId="171" fontId="16" fillId="0" borderId="3" xfId="1" applyNumberFormat="1" applyFont="1" applyBorder="1" applyAlignment="1" applyProtection="1">
      <alignment horizontal="center" vertical="center"/>
      <protection locked="0"/>
    </xf>
    <xf numFmtId="164" fontId="16" fillId="0" borderId="3" xfId="0" applyNumberFormat="1" applyFont="1" applyBorder="1" applyAlignment="1" applyProtection="1">
      <alignment horizontal="center" vertical="center"/>
      <protection locked="0"/>
    </xf>
    <xf numFmtId="11" fontId="16" fillId="0" borderId="3" xfId="0" applyNumberFormat="1" applyFont="1" applyBorder="1" applyAlignment="1" applyProtection="1">
      <alignment horizontal="center" vertical="center"/>
      <protection locked="0"/>
    </xf>
    <xf numFmtId="9" fontId="16" fillId="0" borderId="3" xfId="0" applyNumberFormat="1" applyFont="1" applyBorder="1" applyAlignment="1" applyProtection="1">
      <alignment horizontal="center" vertical="center"/>
      <protection locked="0"/>
    </xf>
    <xf numFmtId="11" fontId="16" fillId="0" borderId="3" xfId="0" applyNumberFormat="1" applyFont="1" applyFill="1" applyBorder="1" applyAlignment="1" applyProtection="1">
      <alignment horizontal="center" vertical="center"/>
      <protection locked="0"/>
    </xf>
    <xf numFmtId="3" fontId="16" fillId="0" borderId="3" xfId="0" applyNumberFormat="1" applyFont="1" applyFill="1" applyBorder="1" applyAlignment="1" applyProtection="1">
      <alignment horizontal="center" vertical="center"/>
      <protection locked="0"/>
    </xf>
    <xf numFmtId="166" fontId="16" fillId="0" borderId="3" xfId="0" applyNumberFormat="1" applyFont="1" applyBorder="1" applyAlignment="1" applyProtection="1">
      <alignment horizontal="center" vertical="center"/>
      <protection locked="0"/>
    </xf>
    <xf numFmtId="9" fontId="16" fillId="0" borderId="3" xfId="1" applyNumberFormat="1" applyFont="1" applyBorder="1" applyAlignment="1" applyProtection="1">
      <alignment horizontal="center" vertical="center"/>
      <protection locked="0"/>
    </xf>
    <xf numFmtId="170" fontId="16" fillId="0" borderId="3" xfId="0" applyNumberFormat="1" applyFont="1" applyBorder="1" applyAlignment="1" applyProtection="1">
      <alignment horizontal="center" vertical="center"/>
      <protection locked="0"/>
    </xf>
    <xf numFmtId="0" fontId="1" fillId="0" borderId="0" xfId="0" applyFont="1" applyBorder="1" applyAlignment="1">
      <alignment horizontal="left"/>
    </xf>
    <xf numFmtId="0" fontId="1" fillId="0" borderId="26" xfId="0" applyFont="1" applyBorder="1" applyAlignment="1">
      <alignment horizontal="left"/>
    </xf>
    <xf numFmtId="0" fontId="16" fillId="0" borderId="3" xfId="0" applyFont="1" applyBorder="1" applyAlignment="1">
      <alignment horizontal="center" vertical="center"/>
    </xf>
    <xf numFmtId="0" fontId="26" fillId="0" borderId="0" xfId="0" applyFont="1" applyAlignment="1">
      <alignment horizontal="center"/>
    </xf>
    <xf numFmtId="0" fontId="16" fillId="0" borderId="0" xfId="0" applyFont="1" applyFill="1" applyAlignment="1">
      <alignment horizontal="center"/>
    </xf>
    <xf numFmtId="0" fontId="19" fillId="0" borderId="0" xfId="0" applyFont="1" applyAlignment="1">
      <alignment horizontal="center"/>
    </xf>
    <xf numFmtId="0" fontId="10" fillId="4" borderId="42" xfId="0" applyFont="1" applyFill="1" applyBorder="1" applyAlignment="1">
      <alignment horizontal="center"/>
    </xf>
    <xf numFmtId="0" fontId="10" fillId="4" borderId="43" xfId="0" applyFont="1" applyFill="1" applyBorder="1" applyAlignment="1">
      <alignment horizontal="center"/>
    </xf>
    <xf numFmtId="0" fontId="10" fillId="4" borderId="44" xfId="0" applyFont="1" applyFill="1" applyBorder="1" applyAlignment="1">
      <alignment horizontal="center"/>
    </xf>
    <xf numFmtId="0" fontId="1" fillId="0" borderId="15" xfId="0" applyFont="1" applyBorder="1" applyAlignment="1">
      <alignment horizontal="center"/>
    </xf>
    <xf numFmtId="167" fontId="1" fillId="0" borderId="16" xfId="0" applyNumberFormat="1" applyFont="1" applyBorder="1" applyAlignment="1">
      <alignment horizontal="center"/>
    </xf>
    <xf numFmtId="168" fontId="1" fillId="0" borderId="16" xfId="0" applyNumberFormat="1" applyFont="1" applyBorder="1" applyAlignment="1">
      <alignment horizontal="center"/>
    </xf>
    <xf numFmtId="0" fontId="1" fillId="0" borderId="16" xfId="0" applyFont="1" applyBorder="1" applyAlignment="1" applyProtection="1">
      <alignment horizontal="center"/>
      <protection locked="0"/>
    </xf>
    <xf numFmtId="1" fontId="1" fillId="0" borderId="16" xfId="0" applyNumberFormat="1" applyFont="1" applyBorder="1" applyAlignment="1">
      <alignment horizontal="center"/>
    </xf>
    <xf numFmtId="0" fontId="1" fillId="0" borderId="19" xfId="0" applyFont="1" applyBorder="1" applyAlignment="1">
      <alignment horizontal="center"/>
    </xf>
    <xf numFmtId="0" fontId="1" fillId="0" borderId="26" xfId="0" applyFont="1" applyBorder="1" applyAlignment="1">
      <alignment horizontal="center"/>
    </xf>
    <xf numFmtId="0" fontId="1" fillId="0" borderId="0" xfId="0" applyFont="1" applyBorder="1"/>
    <xf numFmtId="0" fontId="1" fillId="0" borderId="0" xfId="0" quotePrefix="1" applyFont="1" applyBorder="1"/>
    <xf numFmtId="164" fontId="1" fillId="0" borderId="0" xfId="0" applyNumberFormat="1" applyFont="1" applyBorder="1"/>
    <xf numFmtId="0" fontId="1" fillId="0" borderId="16" xfId="0" applyFont="1" applyBorder="1"/>
    <xf numFmtId="164" fontId="1" fillId="0" borderId="15" xfId="0" applyNumberFormat="1" applyFont="1" applyBorder="1"/>
    <xf numFmtId="1" fontId="1" fillId="0" borderId="0" xfId="0" applyNumberFormat="1" applyFont="1" applyBorder="1"/>
    <xf numFmtId="169" fontId="1" fillId="0" borderId="0" xfId="0" applyNumberFormat="1" applyFont="1" applyBorder="1"/>
    <xf numFmtId="172" fontId="1" fillId="0" borderId="0" xfId="0" applyNumberFormat="1" applyFont="1" applyBorder="1"/>
    <xf numFmtId="3" fontId="1" fillId="0" borderId="0" xfId="0" applyNumberFormat="1" applyFont="1" applyBorder="1"/>
    <xf numFmtId="3" fontId="1" fillId="0" borderId="15" xfId="0" applyNumberFormat="1" applyFont="1" applyBorder="1"/>
    <xf numFmtId="11" fontId="1" fillId="0" borderId="15" xfId="0" applyNumberFormat="1" applyFont="1" applyBorder="1"/>
    <xf numFmtId="11" fontId="1" fillId="0" borderId="0" xfId="0" applyNumberFormat="1" applyFont="1" applyBorder="1"/>
    <xf numFmtId="3" fontId="1" fillId="0" borderId="19" xfId="0" applyNumberFormat="1" applyFont="1" applyBorder="1"/>
    <xf numFmtId="0" fontId="1" fillId="0" borderId="26" xfId="0" applyFont="1" applyBorder="1"/>
    <xf numFmtId="0" fontId="1" fillId="0" borderId="26" xfId="0" quotePrefix="1" applyFont="1" applyBorder="1"/>
    <xf numFmtId="0" fontId="1" fillId="0" borderId="20" xfId="0" applyFont="1" applyBorder="1"/>
    <xf numFmtId="0" fontId="0" fillId="12" borderId="0" xfId="0" applyFill="1" applyAlignment="1">
      <alignment wrapText="1"/>
    </xf>
    <xf numFmtId="0" fontId="3" fillId="13" borderId="21" xfId="0" applyFont="1" applyFill="1" applyBorder="1" applyAlignment="1">
      <alignment wrapText="1"/>
    </xf>
    <xf numFmtId="0" fontId="0" fillId="13" borderId="22" xfId="0" applyFill="1" applyBorder="1" applyAlignment="1">
      <alignment wrapText="1"/>
    </xf>
    <xf numFmtId="0" fontId="0" fillId="13" borderId="22" xfId="0" applyFont="1" applyFill="1" applyBorder="1" applyAlignment="1">
      <alignment wrapText="1"/>
    </xf>
    <xf numFmtId="0" fontId="0" fillId="13" borderId="24" xfId="0" applyFill="1" applyBorder="1" applyAlignment="1">
      <alignment wrapText="1"/>
    </xf>
    <xf numFmtId="0" fontId="3" fillId="13" borderId="27" xfId="0" applyFont="1" applyFill="1" applyBorder="1" applyAlignment="1">
      <alignment horizontal="center"/>
    </xf>
    <xf numFmtId="0" fontId="3" fillId="13" borderId="28" xfId="0" applyFont="1" applyFill="1" applyBorder="1" applyAlignment="1">
      <alignment horizontal="center"/>
    </xf>
    <xf numFmtId="0" fontId="3" fillId="13" borderId="29" xfId="0" applyFont="1" applyFill="1" applyBorder="1" applyAlignment="1">
      <alignment horizontal="center"/>
    </xf>
    <xf numFmtId="0" fontId="0" fillId="13" borderId="15" xfId="0" applyFill="1" applyBorder="1" applyAlignment="1">
      <alignment horizontal="left" vertical="center" wrapText="1"/>
    </xf>
    <xf numFmtId="0" fontId="0" fillId="13" borderId="0" xfId="0" applyFill="1" applyBorder="1" applyAlignment="1">
      <alignment horizontal="left" vertical="center" wrapText="1"/>
    </xf>
    <xf numFmtId="0" fontId="0" fillId="13" borderId="16" xfId="0" applyFill="1" applyBorder="1" applyAlignment="1">
      <alignment horizontal="left" vertical="center" wrapText="1"/>
    </xf>
    <xf numFmtId="0" fontId="0" fillId="13" borderId="19" xfId="0" applyFill="1" applyBorder="1" applyAlignment="1">
      <alignment horizontal="left" vertical="center" wrapText="1"/>
    </xf>
    <xf numFmtId="0" fontId="0" fillId="13" borderId="26" xfId="0" applyFill="1" applyBorder="1" applyAlignment="1">
      <alignment horizontal="left" vertical="center" wrapText="1"/>
    </xf>
    <xf numFmtId="0" fontId="0" fillId="13" borderId="20" xfId="0" applyFill="1" applyBorder="1" applyAlignment="1">
      <alignment horizontal="left" vertical="center" wrapText="1"/>
    </xf>
    <xf numFmtId="0" fontId="3" fillId="13" borderId="13" xfId="0" applyFont="1" applyFill="1" applyBorder="1" applyAlignment="1">
      <alignment horizontal="left"/>
    </xf>
    <xf numFmtId="0" fontId="3" fillId="13" borderId="25" xfId="0" applyFont="1" applyFill="1" applyBorder="1" applyAlignment="1">
      <alignment horizontal="left"/>
    </xf>
    <xf numFmtId="0" fontId="3" fillId="13" borderId="14" xfId="0" applyFont="1" applyFill="1" applyBorder="1" applyAlignment="1">
      <alignment horizontal="left"/>
    </xf>
    <xf numFmtId="0" fontId="0" fillId="13" borderId="15" xfId="0" applyFill="1" applyBorder="1" applyAlignment="1">
      <alignment horizontal="left"/>
    </xf>
    <xf numFmtId="0" fontId="0" fillId="13" borderId="0" xfId="0" applyFill="1" applyBorder="1" applyAlignment="1">
      <alignment horizontal="left"/>
    </xf>
    <xf numFmtId="0" fontId="0" fillId="13" borderId="16" xfId="0" applyFill="1" applyBorder="1" applyAlignment="1">
      <alignment horizontal="left"/>
    </xf>
    <xf numFmtId="0" fontId="29" fillId="13" borderId="15" xfId="0" applyFont="1" applyFill="1" applyBorder="1" applyAlignment="1">
      <alignment horizontal="left" vertical="center" wrapText="1"/>
    </xf>
    <xf numFmtId="0" fontId="29" fillId="13" borderId="0" xfId="0" applyFont="1" applyFill="1" applyBorder="1" applyAlignment="1">
      <alignment horizontal="left" vertical="center" wrapText="1"/>
    </xf>
    <xf numFmtId="0" fontId="29" fillId="13" borderId="16" xfId="0" applyFont="1" applyFill="1" applyBorder="1" applyAlignment="1">
      <alignment horizontal="left" vertical="center" wrapText="1"/>
    </xf>
    <xf numFmtId="0" fontId="29" fillId="13" borderId="19" xfId="0" applyFont="1" applyFill="1" applyBorder="1" applyAlignment="1">
      <alignment horizontal="left" vertical="center" wrapText="1"/>
    </xf>
    <xf numFmtId="0" fontId="29" fillId="13" borderId="26" xfId="0" applyFont="1" applyFill="1" applyBorder="1" applyAlignment="1">
      <alignment horizontal="left" vertical="center" wrapText="1"/>
    </xf>
    <xf numFmtId="0" fontId="29" fillId="13" borderId="20" xfId="0" applyFont="1" applyFill="1" applyBorder="1" applyAlignment="1">
      <alignment horizontal="left" vertical="center" wrapText="1"/>
    </xf>
    <xf numFmtId="0" fontId="30" fillId="13" borderId="13" xfId="0" applyFont="1" applyFill="1" applyBorder="1" applyAlignment="1">
      <alignment horizontal="left" vertical="center"/>
    </xf>
    <xf numFmtId="0" fontId="30" fillId="13" borderId="25" xfId="0" applyFont="1" applyFill="1" applyBorder="1" applyAlignment="1">
      <alignment horizontal="left" vertical="center"/>
    </xf>
    <xf numFmtId="0" fontId="30" fillId="13" borderId="14" xfId="0" applyFont="1" applyFill="1" applyBorder="1" applyAlignment="1">
      <alignment horizontal="left" vertical="center"/>
    </xf>
    <xf numFmtId="0" fontId="0" fillId="13" borderId="15" xfId="0" applyFill="1" applyBorder="1" applyAlignment="1">
      <alignment horizontal="left" vertical="center"/>
    </xf>
    <xf numFmtId="0" fontId="0" fillId="13" borderId="0" xfId="0" applyFill="1" applyBorder="1" applyAlignment="1">
      <alignment horizontal="left" vertical="center"/>
    </xf>
    <xf numFmtId="0" fontId="0" fillId="13" borderId="16" xfId="0" applyFill="1" applyBorder="1" applyAlignment="1">
      <alignment horizontal="left" vertical="center"/>
    </xf>
    <xf numFmtId="0" fontId="0" fillId="13" borderId="19" xfId="0" applyFill="1" applyBorder="1" applyAlignment="1">
      <alignment horizontal="left" vertical="center"/>
    </xf>
    <xf numFmtId="0" fontId="0" fillId="13" borderId="26" xfId="0" applyFill="1" applyBorder="1" applyAlignment="1">
      <alignment horizontal="left" vertical="center"/>
    </xf>
    <xf numFmtId="0" fontId="0" fillId="13" borderId="20" xfId="0" applyFill="1" applyBorder="1" applyAlignment="1">
      <alignment horizontal="left" vertical="center"/>
    </xf>
    <xf numFmtId="164" fontId="16" fillId="0" borderId="5" xfId="0" applyNumberFormat="1" applyFont="1" applyBorder="1" applyAlignment="1" applyProtection="1">
      <alignment horizontal="center" vertical="center"/>
      <protection locked="0"/>
    </xf>
    <xf numFmtId="164" fontId="16" fillId="0" borderId="2" xfId="0" applyNumberFormat="1" applyFont="1" applyBorder="1" applyAlignment="1" applyProtection="1">
      <alignment horizontal="center" vertical="center"/>
      <protection locked="0"/>
    </xf>
    <xf numFmtId="164" fontId="16" fillId="0" borderId="6" xfId="0" applyNumberFormat="1" applyFont="1" applyBorder="1" applyAlignment="1" applyProtection="1">
      <alignment horizontal="center" vertical="center"/>
      <protection locked="0"/>
    </xf>
    <xf numFmtId="164" fontId="16" fillId="0" borderId="7" xfId="0" applyNumberFormat="1" applyFont="1" applyBorder="1" applyAlignment="1" applyProtection="1">
      <alignment horizontal="center" vertical="center"/>
      <protection locked="0"/>
    </xf>
    <xf numFmtId="164" fontId="16" fillId="0" borderId="0" xfId="0" applyNumberFormat="1" applyFont="1" applyBorder="1" applyAlignment="1" applyProtection="1">
      <alignment horizontal="center" vertical="center"/>
      <protection locked="0"/>
    </xf>
    <xf numFmtId="164" fontId="16" fillId="0" borderId="8" xfId="0" applyNumberFormat="1" applyFont="1" applyBorder="1" applyAlignment="1" applyProtection="1">
      <alignment horizontal="center" vertical="center"/>
      <protection locked="0"/>
    </xf>
    <xf numFmtId="164" fontId="16" fillId="0" borderId="9" xfId="0" applyNumberFormat="1" applyFont="1" applyBorder="1" applyAlignment="1" applyProtection="1">
      <alignment horizontal="center" vertical="center"/>
      <protection locked="0"/>
    </xf>
    <xf numFmtId="164" fontId="16" fillId="0" borderId="1" xfId="0" applyNumberFormat="1" applyFont="1" applyBorder="1" applyAlignment="1" applyProtection="1">
      <alignment horizontal="center" vertical="center"/>
      <protection locked="0"/>
    </xf>
    <xf numFmtId="164" fontId="16" fillId="0" borderId="10" xfId="0" applyNumberFormat="1" applyFont="1" applyBorder="1" applyAlignment="1" applyProtection="1">
      <alignment horizontal="center" vertical="center"/>
      <protection locked="0"/>
    </xf>
    <xf numFmtId="0" fontId="16" fillId="3" borderId="3" xfId="0" applyFont="1" applyFill="1" applyBorder="1" applyAlignment="1">
      <alignment horizontal="left" vertical="center"/>
    </xf>
    <xf numFmtId="0" fontId="16" fillId="0" borderId="3" xfId="0" applyFont="1" applyBorder="1" applyAlignment="1">
      <alignment horizontal="center" vertical="center"/>
    </xf>
    <xf numFmtId="0" fontId="2" fillId="7" borderId="13" xfId="0" applyFont="1" applyFill="1" applyBorder="1" applyAlignment="1">
      <alignment horizontal="center"/>
    </xf>
    <xf numFmtId="0" fontId="2" fillId="7" borderId="25" xfId="0" applyFont="1" applyFill="1" applyBorder="1" applyAlignment="1">
      <alignment horizontal="center"/>
    </xf>
    <xf numFmtId="0" fontId="2" fillId="7" borderId="14" xfId="0" applyFont="1" applyFill="1" applyBorder="1" applyAlignment="1">
      <alignment horizontal="center"/>
    </xf>
    <xf numFmtId="0" fontId="8" fillId="4" borderId="27" xfId="0" applyFont="1" applyFill="1" applyBorder="1" applyAlignment="1">
      <alignment horizontal="center"/>
    </xf>
    <xf numFmtId="0" fontId="8" fillId="4" borderId="28" xfId="0" applyFont="1" applyFill="1" applyBorder="1" applyAlignment="1">
      <alignment horizontal="center"/>
    </xf>
    <xf numFmtId="0" fontId="8" fillId="4" borderId="29" xfId="0" applyFont="1" applyFill="1" applyBorder="1" applyAlignment="1">
      <alignment horizontal="center"/>
    </xf>
    <xf numFmtId="0" fontId="2" fillId="0" borderId="19" xfId="0" applyFont="1" applyBorder="1" applyAlignment="1">
      <alignment horizontal="center"/>
    </xf>
    <xf numFmtId="0" fontId="2" fillId="0" borderId="26" xfId="0" applyFont="1" applyBorder="1" applyAlignment="1">
      <alignment horizontal="center"/>
    </xf>
    <xf numFmtId="0" fontId="2" fillId="0" borderId="20" xfId="0" applyFont="1" applyBorder="1" applyAlignment="1">
      <alignment horizontal="center"/>
    </xf>
    <xf numFmtId="0" fontId="1" fillId="0" borderId="15" xfId="0" applyFont="1" applyBorder="1" applyAlignment="1">
      <alignment horizontal="left"/>
    </xf>
    <xf numFmtId="0" fontId="1" fillId="0" borderId="0" xfId="0" applyFont="1" applyBorder="1" applyAlignment="1">
      <alignment horizontal="left"/>
    </xf>
    <xf numFmtId="0" fontId="1" fillId="0" borderId="16" xfId="0" applyFont="1" applyBorder="1" applyAlignment="1">
      <alignment horizontal="left"/>
    </xf>
    <xf numFmtId="0" fontId="1" fillId="0" borderId="19" xfId="0" applyFont="1" applyBorder="1" applyAlignment="1">
      <alignment horizontal="left"/>
    </xf>
    <xf numFmtId="0" fontId="1" fillId="0" borderId="26" xfId="0" applyFont="1" applyBorder="1" applyAlignment="1">
      <alignment horizontal="left"/>
    </xf>
    <xf numFmtId="0" fontId="1" fillId="0" borderId="20"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14" xfId="0" applyFont="1" applyBorder="1" applyAlignment="1">
      <alignment horizontal="left"/>
    </xf>
    <xf numFmtId="0" fontId="1" fillId="0" borderId="27" xfId="0" applyFont="1" applyBorder="1" applyAlignment="1">
      <alignment horizontal="left"/>
    </xf>
    <xf numFmtId="0" fontId="1" fillId="0" borderId="28" xfId="0" applyFont="1" applyBorder="1" applyAlignment="1">
      <alignment horizontal="left"/>
    </xf>
    <xf numFmtId="0" fontId="1" fillId="0" borderId="29" xfId="0" applyFont="1" applyBorder="1" applyAlignment="1">
      <alignment horizontal="left"/>
    </xf>
    <xf numFmtId="0" fontId="1" fillId="0" borderId="15" xfId="0" applyFont="1" applyFill="1" applyBorder="1" applyAlignment="1">
      <alignment horizontal="left"/>
    </xf>
    <xf numFmtId="0" fontId="1" fillId="0" borderId="0" xfId="0" applyFont="1" applyFill="1" applyBorder="1" applyAlignment="1">
      <alignment horizontal="left"/>
    </xf>
    <xf numFmtId="0" fontId="1" fillId="0" borderId="16" xfId="0" applyFont="1" applyFill="1" applyBorder="1" applyAlignment="1">
      <alignment horizontal="left"/>
    </xf>
    <xf numFmtId="0" fontId="1" fillId="0" borderId="13" xfId="0" applyFont="1" applyBorder="1" applyAlignment="1">
      <alignment horizontal="left" vertical="center" wrapText="1"/>
    </xf>
    <xf numFmtId="0" fontId="1" fillId="0" borderId="25" xfId="0" applyFont="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0" xfId="0" applyFont="1" applyBorder="1" applyAlignment="1">
      <alignment horizontal="left" vertical="center" wrapText="1"/>
    </xf>
    <xf numFmtId="0" fontId="1" fillId="0" borderId="16" xfId="0" applyFont="1" applyBorder="1" applyAlignment="1">
      <alignment horizontal="left" vertical="center" wrapText="1"/>
    </xf>
    <xf numFmtId="0" fontId="1" fillId="0" borderId="19" xfId="0" applyFont="1" applyBorder="1" applyAlignment="1">
      <alignment horizontal="left" vertical="center" wrapText="1"/>
    </xf>
    <xf numFmtId="0" fontId="1" fillId="0" borderId="26" xfId="0" applyFont="1" applyBorder="1" applyAlignment="1">
      <alignment horizontal="left" vertical="center" wrapText="1"/>
    </xf>
    <xf numFmtId="0" fontId="1" fillId="0" borderId="20" xfId="0" applyFont="1" applyBorder="1" applyAlignment="1">
      <alignment horizontal="left" vertical="center" wrapText="1"/>
    </xf>
    <xf numFmtId="0" fontId="10" fillId="4" borderId="15" xfId="0" applyFont="1" applyFill="1" applyBorder="1" applyAlignment="1">
      <alignment horizontal="center"/>
    </xf>
    <xf numFmtId="0" fontId="10" fillId="4" borderId="16" xfId="0" applyFont="1" applyFill="1" applyBorder="1" applyAlignment="1">
      <alignment horizontal="center"/>
    </xf>
    <xf numFmtId="0" fontId="22" fillId="4" borderId="21" xfId="0" applyFont="1" applyFill="1" applyBorder="1" applyAlignment="1">
      <alignment horizontal="center"/>
    </xf>
    <xf numFmtId="0" fontId="22" fillId="4" borderId="22" xfId="0" applyFont="1" applyFill="1" applyBorder="1" applyAlignment="1">
      <alignment horizontal="center"/>
    </xf>
    <xf numFmtId="0" fontId="10" fillId="4" borderId="42" xfId="0" applyFont="1" applyFill="1" applyBorder="1" applyAlignment="1">
      <alignment horizontal="center"/>
    </xf>
    <xf numFmtId="0" fontId="10" fillId="4" borderId="43" xfId="0" applyFont="1" applyFill="1" applyBorder="1" applyAlignment="1">
      <alignment horizontal="center"/>
    </xf>
    <xf numFmtId="0" fontId="0" fillId="12" borderId="0" xfId="0" applyFill="1" applyAlignment="1">
      <alignment horizontal="left"/>
    </xf>
    <xf numFmtId="0" fontId="3" fillId="0" borderId="13"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1" fillId="4" borderId="0" xfId="0" applyFont="1" applyFill="1" applyAlignment="1">
      <alignment horizontal="center"/>
    </xf>
  </cellXfs>
  <cellStyles count="2">
    <cellStyle name="Normal" xfId="0" builtinId="0"/>
    <cellStyle name="Percent" xfId="1" builtinId="5"/>
  </cellStyles>
  <dxfs count="0"/>
  <tableStyles count="0" defaultTableStyle="TableStyleMedium2" defaultPivotStyle="PivotStyleLight16"/>
  <colors>
    <mruColors>
      <color rgb="FFFFFF99"/>
      <color rgb="FFFFFFFF"/>
      <color rgb="FF00FF00"/>
      <color rgb="FFFFFF66"/>
      <color rgb="FFFFFF00"/>
      <color rgb="FF00FF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2"/>
          <c:tx>
            <c:v>Crude extraction</c:v>
          </c:tx>
          <c:spPr>
            <a:solidFill>
              <a:schemeClr val="accent1">
                <a:lumMod val="50000"/>
              </a:schemeClr>
            </a:solidFill>
            <a:ln>
              <a:noFill/>
            </a:ln>
          </c:spPr>
          <c:invertIfNegative val="0"/>
          <c:cat>
            <c:strRef>
              <c:f>'4. Gasoline and Diesel'!$C$2:$H$2</c:f>
              <c:strCache>
                <c:ptCount val="6"/>
                <c:pt idx="0">
                  <c:v>Gasoline (Conventional)</c:v>
                </c:pt>
                <c:pt idx="1">
                  <c:v>Diesel (Conventional)</c:v>
                </c:pt>
                <c:pt idx="2">
                  <c:v>Gasoline (CO2-EOR)</c:v>
                </c:pt>
                <c:pt idx="3">
                  <c:v>Diesel (CO2-EOR)</c:v>
                </c:pt>
                <c:pt idx="4">
                  <c:v>Gasoline (CO2-EOR)</c:v>
                </c:pt>
                <c:pt idx="5">
                  <c:v>Diesel (CO2-EOR)</c:v>
                </c:pt>
              </c:strCache>
            </c:strRef>
          </c:cat>
          <c:val>
            <c:numRef>
              <c:f>('4. Gasoline and Diesel'!$C$14:$D$14,'4. Gasoline and Diesel'!$G$14:$H$14)</c:f>
              <c:numCache>
                <c:formatCode>#,##0</c:formatCode>
                <c:ptCount val="4"/>
                <c:pt idx="0">
                  <c:v>7.755766621438263</c:v>
                </c:pt>
                <c:pt idx="1">
                  <c:v>7.0270084293824198</c:v>
                </c:pt>
                <c:pt idx="2">
                  <c:v>43.95574283018761</c:v>
                </c:pt>
                <c:pt idx="3">
                  <c:v>39.010438200746236</c:v>
                </c:pt>
              </c:numCache>
            </c:numRef>
          </c:val>
          <c:extLst>
            <c:ext xmlns:c16="http://schemas.microsoft.com/office/drawing/2014/chart" uri="{C3380CC4-5D6E-409C-BE32-E72D297353CC}">
              <c16:uniqueId val="{00000000-45C2-490B-B149-5B542C03BE63}"/>
            </c:ext>
          </c:extLst>
        </c:ser>
        <c:ser>
          <c:idx val="1"/>
          <c:order val="3"/>
          <c:tx>
            <c:v>Crude transport</c:v>
          </c:tx>
          <c:spPr>
            <a:solidFill>
              <a:schemeClr val="accent1">
                <a:lumMod val="75000"/>
              </a:schemeClr>
            </a:solidFill>
            <a:ln>
              <a:noFill/>
            </a:ln>
          </c:spPr>
          <c:invertIfNegative val="0"/>
          <c:cat>
            <c:strRef>
              <c:f>'4. Gasoline and Diesel'!$C$2:$H$2</c:f>
              <c:strCache>
                <c:ptCount val="6"/>
                <c:pt idx="0">
                  <c:v>Gasoline (Conventional)</c:v>
                </c:pt>
                <c:pt idx="1">
                  <c:v>Diesel (Conventional)</c:v>
                </c:pt>
                <c:pt idx="2">
                  <c:v>Gasoline (CO2-EOR)</c:v>
                </c:pt>
                <c:pt idx="3">
                  <c:v>Diesel (CO2-EOR)</c:v>
                </c:pt>
                <c:pt idx="4">
                  <c:v>Gasoline (CO2-EOR)</c:v>
                </c:pt>
                <c:pt idx="5">
                  <c:v>Diesel (CO2-EOR)</c:v>
                </c:pt>
              </c:strCache>
            </c:strRef>
          </c:cat>
          <c:val>
            <c:numRef>
              <c:f>('4. Gasoline and Diesel'!$C$18:$D$18,'4. Gasoline and Diesel'!$G$18:$H$18)</c:f>
              <c:numCache>
                <c:formatCode>#,##0</c:formatCode>
                <c:ptCount val="4"/>
                <c:pt idx="0">
                  <c:v>0.81194788160252696</c:v>
                </c:pt>
                <c:pt idx="1">
                  <c:v>0.72059850699938699</c:v>
                </c:pt>
                <c:pt idx="2">
                  <c:v>0.81194788160252696</c:v>
                </c:pt>
                <c:pt idx="3">
                  <c:v>0.72059850699938699</c:v>
                </c:pt>
              </c:numCache>
            </c:numRef>
          </c:val>
          <c:extLst>
            <c:ext xmlns:c16="http://schemas.microsoft.com/office/drawing/2014/chart" uri="{C3380CC4-5D6E-409C-BE32-E72D297353CC}">
              <c16:uniqueId val="{00000001-45C2-490B-B149-5B542C03BE63}"/>
            </c:ext>
          </c:extLst>
        </c:ser>
        <c:ser>
          <c:idx val="2"/>
          <c:order val="4"/>
          <c:tx>
            <c:v>Refinery operations</c:v>
          </c:tx>
          <c:spPr>
            <a:solidFill>
              <a:schemeClr val="accent1">
                <a:lumMod val="60000"/>
                <a:lumOff val="40000"/>
              </a:schemeClr>
            </a:solidFill>
            <a:ln>
              <a:noFill/>
            </a:ln>
          </c:spPr>
          <c:invertIfNegative val="0"/>
          <c:cat>
            <c:strRef>
              <c:f>'4. Gasoline and Diesel'!$C$2:$H$2</c:f>
              <c:strCache>
                <c:ptCount val="6"/>
                <c:pt idx="0">
                  <c:v>Gasoline (Conventional)</c:v>
                </c:pt>
                <c:pt idx="1">
                  <c:v>Diesel (Conventional)</c:v>
                </c:pt>
                <c:pt idx="2">
                  <c:v>Gasoline (CO2-EOR)</c:v>
                </c:pt>
                <c:pt idx="3">
                  <c:v>Diesel (CO2-EOR)</c:v>
                </c:pt>
                <c:pt idx="4">
                  <c:v>Gasoline (CO2-EOR)</c:v>
                </c:pt>
                <c:pt idx="5">
                  <c:v>Diesel (CO2-EOR)</c:v>
                </c:pt>
              </c:strCache>
            </c:strRef>
          </c:cat>
          <c:val>
            <c:numRef>
              <c:f>('4. Gasoline and Diesel'!$C$22:$D$22,'4. Gasoline and Diesel'!$G$22:$H$22)</c:f>
              <c:numCache>
                <c:formatCode>#,##0</c:formatCode>
                <c:ptCount val="4"/>
                <c:pt idx="0">
                  <c:v>9.3630548555921695</c:v>
                </c:pt>
                <c:pt idx="1">
                  <c:v>9.1477722346464816</c:v>
                </c:pt>
                <c:pt idx="2">
                  <c:v>9.3630548555921695</c:v>
                </c:pt>
                <c:pt idx="3">
                  <c:v>9.1477722346464816</c:v>
                </c:pt>
              </c:numCache>
            </c:numRef>
          </c:val>
          <c:extLst>
            <c:ext xmlns:c16="http://schemas.microsoft.com/office/drawing/2014/chart" uri="{C3380CC4-5D6E-409C-BE32-E72D297353CC}">
              <c16:uniqueId val="{00000002-45C2-490B-B149-5B542C03BE63}"/>
            </c:ext>
          </c:extLst>
        </c:ser>
        <c:ser>
          <c:idx val="3"/>
          <c:order val="5"/>
          <c:tx>
            <c:v>Fuel transport</c:v>
          </c:tx>
          <c:spPr>
            <a:solidFill>
              <a:schemeClr val="accent1">
                <a:lumMod val="40000"/>
                <a:lumOff val="60000"/>
              </a:schemeClr>
            </a:solidFill>
            <a:ln>
              <a:noFill/>
            </a:ln>
          </c:spPr>
          <c:invertIfNegative val="0"/>
          <c:cat>
            <c:strRef>
              <c:f>'4. Gasoline and Diesel'!$C$2:$H$2</c:f>
              <c:strCache>
                <c:ptCount val="6"/>
                <c:pt idx="0">
                  <c:v>Gasoline (Conventional)</c:v>
                </c:pt>
                <c:pt idx="1">
                  <c:v>Diesel (Conventional)</c:v>
                </c:pt>
                <c:pt idx="2">
                  <c:v>Gasoline (CO2-EOR)</c:v>
                </c:pt>
                <c:pt idx="3">
                  <c:v>Diesel (CO2-EOR)</c:v>
                </c:pt>
                <c:pt idx="4">
                  <c:v>Gasoline (CO2-EOR)</c:v>
                </c:pt>
                <c:pt idx="5">
                  <c:v>Diesel (CO2-EOR)</c:v>
                </c:pt>
              </c:strCache>
            </c:strRef>
          </c:cat>
          <c:val>
            <c:numRef>
              <c:f>('4. Gasoline and Diesel'!$C$26:$D$26,'4. Gasoline and Diesel'!$G$26:$H$26)</c:f>
              <c:numCache>
                <c:formatCode>#,##0</c:formatCode>
                <c:ptCount val="4"/>
                <c:pt idx="0">
                  <c:v>1.0343089746074821</c:v>
                </c:pt>
                <c:pt idx="1">
                  <c:v>0.83192843626354718</c:v>
                </c:pt>
                <c:pt idx="2">
                  <c:v>1.0343089746074821</c:v>
                </c:pt>
                <c:pt idx="3">
                  <c:v>0.83192843626354718</c:v>
                </c:pt>
              </c:numCache>
            </c:numRef>
          </c:val>
          <c:extLst>
            <c:ext xmlns:c16="http://schemas.microsoft.com/office/drawing/2014/chart" uri="{C3380CC4-5D6E-409C-BE32-E72D297353CC}">
              <c16:uniqueId val="{00000003-45C2-490B-B149-5B542C03BE63}"/>
            </c:ext>
          </c:extLst>
        </c:ser>
        <c:ser>
          <c:idx val="4"/>
          <c:order val="6"/>
          <c:tx>
            <c:v>Fuel combustion</c:v>
          </c:tx>
          <c:spPr>
            <a:solidFill>
              <a:schemeClr val="accent1">
                <a:lumMod val="20000"/>
                <a:lumOff val="80000"/>
              </a:schemeClr>
            </a:solidFill>
            <a:ln>
              <a:noFill/>
            </a:ln>
          </c:spPr>
          <c:invertIfNegative val="0"/>
          <c:cat>
            <c:strRef>
              <c:f>'4. Gasoline and Diesel'!$C$2:$H$2</c:f>
              <c:strCache>
                <c:ptCount val="6"/>
                <c:pt idx="0">
                  <c:v>Gasoline (Conventional)</c:v>
                </c:pt>
                <c:pt idx="1">
                  <c:v>Diesel (Conventional)</c:v>
                </c:pt>
                <c:pt idx="2">
                  <c:v>Gasoline (CO2-EOR)</c:v>
                </c:pt>
                <c:pt idx="3">
                  <c:v>Diesel (CO2-EOR)</c:v>
                </c:pt>
                <c:pt idx="4">
                  <c:v>Gasoline (CO2-EOR)</c:v>
                </c:pt>
                <c:pt idx="5">
                  <c:v>Diesel (CO2-EOR)</c:v>
                </c:pt>
              </c:strCache>
            </c:strRef>
          </c:cat>
          <c:val>
            <c:numRef>
              <c:f>('4. Gasoline and Diesel'!$C$30:$D$30,'4. Gasoline and Diesel'!$G$30:$H$30)</c:f>
              <c:numCache>
                <c:formatCode>#,##0</c:formatCode>
                <c:ptCount val="4"/>
                <c:pt idx="0">
                  <c:v>72.710990502035273</c:v>
                </c:pt>
                <c:pt idx="1">
                  <c:v>72.647514192327549</c:v>
                </c:pt>
                <c:pt idx="2">
                  <c:v>72.710990502035273</c:v>
                </c:pt>
                <c:pt idx="3">
                  <c:v>72.647514192327549</c:v>
                </c:pt>
              </c:numCache>
            </c:numRef>
          </c:val>
          <c:extLst>
            <c:ext xmlns:c16="http://schemas.microsoft.com/office/drawing/2014/chart" uri="{C3380CC4-5D6E-409C-BE32-E72D297353CC}">
              <c16:uniqueId val="{00000004-45C2-490B-B149-5B542C03BE63}"/>
            </c:ext>
          </c:extLst>
        </c:ser>
        <c:dLbls>
          <c:showLegendKey val="0"/>
          <c:showVal val="0"/>
          <c:showCatName val="0"/>
          <c:showSerName val="0"/>
          <c:showPercent val="0"/>
          <c:showBubbleSize val="0"/>
        </c:dLbls>
        <c:gapWidth val="150"/>
        <c:overlap val="100"/>
        <c:axId val="498947832"/>
        <c:axId val="498948616"/>
      </c:barChart>
      <c:barChart>
        <c:barDir val="col"/>
        <c:grouping val="stacked"/>
        <c:varyColors val="0"/>
        <c:ser>
          <c:idx val="7"/>
          <c:order val="1"/>
          <c:tx>
            <c:v>GHG avoided by electricity displacement</c:v>
          </c:tx>
          <c:spPr>
            <a:solidFill>
              <a:schemeClr val="bg1">
                <a:lumMod val="50000"/>
              </a:schemeClr>
            </a:solidFill>
            <a:ln w="9525">
              <a:noFill/>
            </a:ln>
          </c:spPr>
          <c:invertIfNegative val="0"/>
          <c:val>
            <c:numRef>
              <c:f>('4. Gasoline and Diesel'!$C$10:$D$10,'4. Gasoline and Diesel'!$G$10:$H$10)</c:f>
              <c:numCache>
                <c:formatCode>#,##0</c:formatCode>
                <c:ptCount val="4"/>
                <c:pt idx="2">
                  <c:v>-50.137652416690067</c:v>
                </c:pt>
                <c:pt idx="3">
                  <c:v>-44.49684307891004</c:v>
                </c:pt>
              </c:numCache>
            </c:numRef>
          </c:val>
          <c:extLst>
            <c:ext xmlns:c16="http://schemas.microsoft.com/office/drawing/2014/chart" uri="{C3380CC4-5D6E-409C-BE32-E72D297353CC}">
              <c16:uniqueId val="{00000005-45C2-490B-B149-5B542C03BE63}"/>
            </c:ext>
          </c:extLst>
        </c:ser>
        <c:dLbls>
          <c:showLegendKey val="0"/>
          <c:showVal val="0"/>
          <c:showCatName val="0"/>
          <c:showSerName val="0"/>
          <c:showPercent val="0"/>
          <c:showBubbleSize val="0"/>
        </c:dLbls>
        <c:gapWidth val="150"/>
        <c:overlap val="100"/>
        <c:axId val="497986560"/>
        <c:axId val="497986168"/>
      </c:barChart>
      <c:lineChart>
        <c:grouping val="standard"/>
        <c:varyColors val="0"/>
        <c:ser>
          <c:idx val="5"/>
          <c:order val="0"/>
          <c:tx>
            <c:v>Net life-cycle emissions</c:v>
          </c:tx>
          <c:spPr>
            <a:ln>
              <a:noFill/>
            </a:ln>
          </c:spPr>
          <c:marker>
            <c:symbol val="diamond"/>
            <c:size val="10"/>
            <c:spPr>
              <a:solidFill>
                <a:schemeClr val="tx1"/>
              </a:solidFill>
              <a:ln>
                <a:solidFill>
                  <a:schemeClr val="bg1"/>
                </a:solidFill>
              </a:ln>
            </c:spPr>
          </c:marker>
          <c:dLbls>
            <c:dLbl>
              <c:idx val="2"/>
              <c:layout>
                <c:manualLayout>
                  <c:x val="-7.0555555555555554E-3"/>
                  <c:y val="-2.7498687664041996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5C2-490B-B149-5B542C03BE63}"/>
                </c:ext>
              </c:extLst>
            </c:dLbl>
            <c:dLbl>
              <c:idx val="3"/>
              <c:layout>
                <c:manualLayout>
                  <c:x val="-5.6666666666666671E-3"/>
                  <c:y val="5.8346456692913386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5C2-490B-B149-5B542C03BE63}"/>
                </c:ext>
              </c:extLst>
            </c:dLbl>
            <c:spPr>
              <a:noFill/>
              <a:ln>
                <a:noFill/>
              </a:ln>
              <a:effectLst/>
            </c:spPr>
            <c:txPr>
              <a:bodyPr/>
              <a:lstStyle/>
              <a:p>
                <a:pPr>
                  <a:defRPr sz="1200" b="1"/>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('4. Gasoline and Diesel'!$C$35:$D$35,'4. Gasoline and Diesel'!$G$35:$H$35)</c:f>
                <c:numCache>
                  <c:formatCode>General</c:formatCode>
                  <c:ptCount val="4"/>
                </c:numCache>
              </c:numRef>
            </c:plus>
            <c:minus>
              <c:numRef>
                <c:f>('4. Gasoline and Diesel'!$C$34:$D$34,'4. Gasoline and Diesel'!$G$34:$H$34)</c:f>
                <c:numCache>
                  <c:formatCode>General</c:formatCode>
                  <c:ptCount val="4"/>
                  <c:pt idx="2">
                    <c:v>40.508071793204984</c:v>
                  </c:pt>
                  <c:pt idx="3">
                    <c:v>35.950652396549927</c:v>
                  </c:pt>
                </c:numCache>
              </c:numRef>
            </c:minus>
            <c:spPr>
              <a:ln w="12700"/>
            </c:spPr>
          </c:errBars>
          <c:cat>
            <c:strRef>
              <c:f>('4. Gasoline and Diesel'!$C$2:$D$2,'4. Gasoline and Diesel'!$G$2:$H$2)</c:f>
              <c:strCache>
                <c:ptCount val="4"/>
                <c:pt idx="0">
                  <c:v>Gasoline (Conventional)</c:v>
                </c:pt>
                <c:pt idx="1">
                  <c:v>Diesel (Conventional)</c:v>
                </c:pt>
                <c:pt idx="2">
                  <c:v>Gasoline (CO2-EOR)</c:v>
                </c:pt>
                <c:pt idx="3">
                  <c:v>Diesel (CO2-EOR)</c:v>
                </c:pt>
              </c:strCache>
            </c:strRef>
          </c:cat>
          <c:val>
            <c:numRef>
              <c:f>('4. Gasoline and Diesel'!$C$33:$D$33,'4. Gasoline and Diesel'!$G$33:$H$33)</c:f>
              <c:numCache>
                <c:formatCode>#,##0</c:formatCode>
                <c:ptCount val="4"/>
                <c:pt idx="0">
                  <c:v>91.676068835275728</c:v>
                </c:pt>
                <c:pt idx="1">
                  <c:v>90.374821799619383</c:v>
                </c:pt>
                <c:pt idx="2">
                  <c:v>77.738392627334974</c:v>
                </c:pt>
                <c:pt idx="3">
                  <c:v>77.861408492073153</c:v>
                </c:pt>
              </c:numCache>
            </c:numRef>
          </c:val>
          <c:smooth val="0"/>
          <c:extLst>
            <c:ext xmlns:c16="http://schemas.microsoft.com/office/drawing/2014/chart" uri="{C3380CC4-5D6E-409C-BE32-E72D297353CC}">
              <c16:uniqueId val="{00000008-45C2-490B-B149-5B542C03BE63}"/>
            </c:ext>
          </c:extLst>
        </c:ser>
        <c:dLbls>
          <c:showLegendKey val="0"/>
          <c:showVal val="0"/>
          <c:showCatName val="0"/>
          <c:showSerName val="0"/>
          <c:showPercent val="0"/>
          <c:showBubbleSize val="0"/>
        </c:dLbls>
        <c:marker val="1"/>
        <c:smooth val="0"/>
        <c:axId val="498947832"/>
        <c:axId val="498948616"/>
      </c:lineChart>
      <c:catAx>
        <c:axId val="498947832"/>
        <c:scaling>
          <c:orientation val="minMax"/>
        </c:scaling>
        <c:delete val="0"/>
        <c:axPos val="b"/>
        <c:numFmt formatCode="General" sourceLinked="0"/>
        <c:majorTickMark val="out"/>
        <c:minorTickMark val="none"/>
        <c:tickLblPos val="nextTo"/>
        <c:txPr>
          <a:bodyPr/>
          <a:lstStyle/>
          <a:p>
            <a:pPr>
              <a:defRPr sz="1200"/>
            </a:pPr>
            <a:endParaRPr lang="en-US"/>
          </a:p>
        </c:txPr>
        <c:crossAx val="498948616"/>
        <c:crossesAt val="-150"/>
        <c:auto val="1"/>
        <c:lblAlgn val="ctr"/>
        <c:lblOffset val="100"/>
        <c:noMultiLvlLbl val="0"/>
      </c:catAx>
      <c:valAx>
        <c:axId val="498948616"/>
        <c:scaling>
          <c:orientation val="minMax"/>
          <c:max val="150"/>
          <c:min val="-150"/>
        </c:scaling>
        <c:delete val="0"/>
        <c:axPos val="l"/>
        <c:majorGridlines/>
        <c:title>
          <c:tx>
            <c:rich>
              <a:bodyPr rot="-5400000" vert="horz"/>
              <a:lstStyle/>
              <a:p>
                <a:pPr>
                  <a:defRPr sz="1400" b="0"/>
                </a:pPr>
                <a:r>
                  <a:rPr lang="en-US" sz="1400" b="0"/>
                  <a:t>Life-Cycle Greenhouse Gas Emissions</a:t>
                </a:r>
              </a:p>
              <a:p>
                <a:pPr>
                  <a:defRPr sz="1400" b="0"/>
                </a:pPr>
                <a:r>
                  <a:rPr lang="en-US" sz="1400" b="0"/>
                  <a:t>(g CO</a:t>
                </a:r>
                <a:r>
                  <a:rPr lang="en-US" sz="1400" b="0" baseline="-25000"/>
                  <a:t>2</a:t>
                </a:r>
                <a:r>
                  <a:rPr lang="en-US" sz="1400" b="0"/>
                  <a:t>e/MJ combusted fuel)</a:t>
                </a:r>
              </a:p>
            </c:rich>
          </c:tx>
          <c:overlay val="0"/>
        </c:title>
        <c:numFmt formatCode="#,##0" sourceLinked="1"/>
        <c:majorTickMark val="in"/>
        <c:minorTickMark val="in"/>
        <c:tickLblPos val="nextTo"/>
        <c:txPr>
          <a:bodyPr/>
          <a:lstStyle/>
          <a:p>
            <a:pPr>
              <a:defRPr sz="1200"/>
            </a:pPr>
            <a:endParaRPr lang="en-US"/>
          </a:p>
        </c:txPr>
        <c:crossAx val="498947832"/>
        <c:crosses val="autoZero"/>
        <c:crossBetween val="between"/>
        <c:majorUnit val="50"/>
        <c:minorUnit val="10"/>
      </c:valAx>
      <c:valAx>
        <c:axId val="497986168"/>
        <c:scaling>
          <c:orientation val="minMax"/>
          <c:max val="150"/>
          <c:min val="-150"/>
        </c:scaling>
        <c:delete val="0"/>
        <c:axPos val="r"/>
        <c:numFmt formatCode="#,##0" sourceLinked="1"/>
        <c:majorTickMark val="in"/>
        <c:minorTickMark val="in"/>
        <c:tickLblPos val="none"/>
        <c:crossAx val="497986560"/>
        <c:crosses val="max"/>
        <c:crossBetween val="between"/>
      </c:valAx>
      <c:catAx>
        <c:axId val="497986560"/>
        <c:scaling>
          <c:orientation val="minMax"/>
        </c:scaling>
        <c:delete val="1"/>
        <c:axPos val="b"/>
        <c:majorTickMark val="out"/>
        <c:minorTickMark val="none"/>
        <c:tickLblPos val="nextTo"/>
        <c:crossAx val="497986168"/>
        <c:crosses val="autoZero"/>
        <c:auto val="1"/>
        <c:lblAlgn val="ctr"/>
        <c:lblOffset val="100"/>
        <c:noMultiLvlLbl val="0"/>
      </c:catAx>
      <c:spPr>
        <a:ln>
          <a:solidFill>
            <a:schemeClr val="bg1">
              <a:lumMod val="50000"/>
            </a:schemeClr>
          </a:solidFill>
        </a:ln>
      </c:spPr>
    </c:plotArea>
    <c:legend>
      <c:legendPos val="r"/>
      <c:overlay val="0"/>
      <c:txPr>
        <a:bodyPr/>
        <a:lstStyle/>
        <a:p>
          <a:pPr>
            <a:defRPr sz="1200"/>
          </a:pPr>
          <a:endParaRPr lang="en-US"/>
        </a:p>
      </c:txPr>
    </c:legend>
    <c:plotVisOnly val="1"/>
    <c:dispBlanksAs val="gap"/>
    <c:showDLblsOverMax val="0"/>
  </c:chart>
  <c:spPr>
    <a:ln>
      <a:solidFill>
        <a:schemeClr val="tx1"/>
      </a:solidFill>
    </a:ln>
  </c:sp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'7. Brine &amp; Gas Correlations'!$C$5</c:f>
              <c:strCache>
                <c:ptCount val="1"/>
                <c:pt idx="0">
                  <c:v>Brine Production Rate</c:v>
                </c:pt>
              </c:strCache>
            </c:strRef>
          </c:tx>
          <c:spPr>
            <a:ln w="28575">
              <a:noFill/>
            </a:ln>
          </c:spPr>
          <c:marker>
            <c:symbol val="diamond"/>
            <c:size val="8"/>
            <c:spPr>
              <a:noFill/>
            </c:spPr>
          </c:marker>
          <c:trendline>
            <c:spPr>
              <a:ln w="12700">
                <a:solidFill>
                  <a:schemeClr val="accent1"/>
                </a:solidFill>
                <a:prstDash val="sysDash"/>
              </a:ln>
            </c:spPr>
            <c:trendlineType val="power"/>
            <c:forward val="1"/>
            <c:backward val="1"/>
            <c:dispRSqr val="1"/>
            <c:dispEq val="1"/>
            <c:trendlineLbl>
              <c:layout>
                <c:manualLayout>
                  <c:x val="-0.52362259405074363"/>
                  <c:y val="-5.363626421697288E-3"/>
                </c:manualLayout>
              </c:layout>
              <c:tx>
                <c:rich>
                  <a:bodyPr/>
                  <a:lstStyle/>
                  <a:p>
                    <a:pPr>
                      <a:defRPr sz="1200">
                        <a:solidFill>
                          <a:schemeClr val="accent1"/>
                        </a:solidFill>
                      </a:defRPr>
                    </a:pPr>
                    <a:r>
                      <a:rPr lang="en-US" baseline="0"/>
                      <a:t>y</a:t>
                    </a:r>
                    <a:r>
                      <a:rPr lang="en-US" baseline="-25000"/>
                      <a:t>brine production</a:t>
                    </a:r>
                    <a:r>
                      <a:rPr lang="en-US" baseline="0"/>
                      <a:t> = 56.682x</a:t>
                    </a:r>
                    <a:r>
                      <a:rPr lang="en-US" baseline="30000"/>
                      <a:t>-1.001</a:t>
                    </a:r>
                    <a:endParaRPr lang="en-US"/>
                  </a:p>
                </c:rich>
              </c:tx>
              <c:numFmt formatCode="General" sourceLinked="0"/>
            </c:trendlineLbl>
          </c:trendline>
          <c:xVal>
            <c:numRef>
              <c:f>'7. Brine &amp; Gas Correlations'!$B$8:$B$11</c:f>
              <c:numCache>
                <c:formatCode>0.00</c:formatCode>
                <c:ptCount val="4"/>
                <c:pt idx="0">
                  <c:v>2</c:v>
                </c:pt>
                <c:pt idx="1">
                  <c:v>3</c:v>
                </c:pt>
                <c:pt idx="3">
                  <c:v>4.3499999999999996</c:v>
                </c:pt>
              </c:numCache>
            </c:numRef>
          </c:xVal>
          <c:yVal>
            <c:numRef>
              <c:f>'7. Brine &amp; Gas Correlations'!$C$8:$C$11</c:f>
              <c:numCache>
                <c:formatCode>0.0</c:formatCode>
                <c:ptCount val="4"/>
                <c:pt idx="0">
                  <c:v>28.3</c:v>
                </c:pt>
                <c:pt idx="1">
                  <c:v>18.899999999999999</c:v>
                </c:pt>
                <c:pt idx="3">
                  <c:v>13</c:v>
                </c:pt>
              </c:numCache>
            </c:numRef>
          </c:yVal>
          <c:smooth val="0"/>
          <c:extLst>
            <c:ext xmlns:c16="http://schemas.microsoft.com/office/drawing/2014/chart" uri="{C3380CC4-5D6E-409C-BE32-E72D297353CC}">
              <c16:uniqueId val="{00000000-526A-4D32-94E4-F97D845A0007}"/>
            </c:ext>
          </c:extLst>
        </c:ser>
        <c:ser>
          <c:idx val="1"/>
          <c:order val="1"/>
          <c:tx>
            <c:strRef>
              <c:f>'7. Brine &amp; Gas Correlations'!$D$5</c:f>
              <c:strCache>
                <c:ptCount val="1"/>
                <c:pt idx="0">
                  <c:v>Brine Injection Rate</c:v>
                </c:pt>
              </c:strCache>
            </c:strRef>
          </c:tx>
          <c:spPr>
            <a:ln w="28575">
              <a:noFill/>
            </a:ln>
          </c:spPr>
          <c:marker>
            <c:spPr>
              <a:noFill/>
            </c:spPr>
          </c:marker>
          <c:trendline>
            <c:spPr>
              <a:ln w="12700">
                <a:solidFill>
                  <a:schemeClr val="accent2"/>
                </a:solidFill>
                <a:prstDash val="dash"/>
              </a:ln>
            </c:spPr>
            <c:trendlineType val="power"/>
            <c:forward val="1"/>
            <c:backward val="1"/>
            <c:dispRSqr val="1"/>
            <c:dispEq val="1"/>
            <c:trendlineLbl>
              <c:layout>
                <c:manualLayout>
                  <c:x val="-0.53880777923592882"/>
                  <c:y val="4.8151246719160108E-2"/>
                </c:manualLayout>
              </c:layout>
              <c:tx>
                <c:rich>
                  <a:bodyPr/>
                  <a:lstStyle/>
                  <a:p>
                    <a:pPr>
                      <a:defRPr sz="1200">
                        <a:solidFill>
                          <a:schemeClr val="accent2"/>
                        </a:solidFill>
                      </a:defRPr>
                    </a:pPr>
                    <a:r>
                      <a:rPr lang="en-US" baseline="0"/>
                      <a:t>y</a:t>
                    </a:r>
                    <a:r>
                      <a:rPr lang="en-US" baseline="-25000"/>
                      <a:t>brine injection</a:t>
                    </a:r>
                    <a:r>
                      <a:rPr lang="en-US" baseline="0"/>
                      <a:t> = 52.185x</a:t>
                    </a:r>
                    <a:r>
                      <a:rPr lang="en-US" baseline="30000"/>
                      <a:t>-0.994</a:t>
                    </a:r>
                    <a:endParaRPr lang="en-US"/>
                  </a:p>
                </c:rich>
              </c:tx>
              <c:numFmt formatCode="General" sourceLinked="0"/>
            </c:trendlineLbl>
          </c:trendline>
          <c:xVal>
            <c:numRef>
              <c:f>'7. Brine &amp; Gas Correlations'!$B$8:$B$11</c:f>
              <c:numCache>
                <c:formatCode>0.00</c:formatCode>
                <c:ptCount val="4"/>
                <c:pt idx="0">
                  <c:v>2</c:v>
                </c:pt>
                <c:pt idx="1">
                  <c:v>3</c:v>
                </c:pt>
                <c:pt idx="3">
                  <c:v>4.3499999999999996</c:v>
                </c:pt>
              </c:numCache>
            </c:numRef>
          </c:xVal>
          <c:yVal>
            <c:numRef>
              <c:f>'7. Brine &amp; Gas Correlations'!$D$8:$D$11</c:f>
              <c:numCache>
                <c:formatCode>0.0</c:formatCode>
                <c:ptCount val="4"/>
                <c:pt idx="0">
                  <c:v>26.2</c:v>
                </c:pt>
                <c:pt idx="1">
                  <c:v>17.5</c:v>
                </c:pt>
                <c:pt idx="3">
                  <c:v>12.1</c:v>
                </c:pt>
              </c:numCache>
            </c:numRef>
          </c:yVal>
          <c:smooth val="0"/>
          <c:extLst>
            <c:ext xmlns:c16="http://schemas.microsoft.com/office/drawing/2014/chart" uri="{C3380CC4-5D6E-409C-BE32-E72D297353CC}">
              <c16:uniqueId val="{00000001-526A-4D32-94E4-F97D845A0007}"/>
            </c:ext>
          </c:extLst>
        </c:ser>
        <c:dLbls>
          <c:showLegendKey val="0"/>
          <c:showVal val="0"/>
          <c:showCatName val="0"/>
          <c:showSerName val="0"/>
          <c:showPercent val="0"/>
          <c:showBubbleSize val="0"/>
        </c:dLbls>
        <c:axId val="497987344"/>
        <c:axId val="497987736"/>
      </c:scatterChart>
      <c:valAx>
        <c:axId val="497987344"/>
        <c:scaling>
          <c:orientation val="minMax"/>
          <c:max val="5"/>
          <c:min val="1"/>
        </c:scaling>
        <c:delete val="0"/>
        <c:axPos val="b"/>
        <c:title>
          <c:tx>
            <c:rich>
              <a:bodyPr/>
              <a:lstStyle/>
              <a:p>
                <a:pPr>
                  <a:defRPr sz="1600" b="0"/>
                </a:pPr>
                <a:r>
                  <a:rPr lang="en-US" sz="1600" b="0"/>
                  <a:t>Crude Recovery Ratio (bbl/tonne CO</a:t>
                </a:r>
                <a:r>
                  <a:rPr lang="en-US" sz="1600" b="0" baseline="-25000"/>
                  <a:t>2</a:t>
                </a:r>
                <a:r>
                  <a:rPr lang="en-US" sz="1600" b="0"/>
                  <a:t>)</a:t>
                </a:r>
              </a:p>
            </c:rich>
          </c:tx>
          <c:overlay val="0"/>
        </c:title>
        <c:numFmt formatCode="0" sourceLinked="0"/>
        <c:majorTickMark val="out"/>
        <c:minorTickMark val="none"/>
        <c:tickLblPos val="nextTo"/>
        <c:txPr>
          <a:bodyPr/>
          <a:lstStyle/>
          <a:p>
            <a:pPr>
              <a:defRPr sz="1400"/>
            </a:pPr>
            <a:endParaRPr lang="en-US"/>
          </a:p>
        </c:txPr>
        <c:crossAx val="497987736"/>
        <c:crosses val="autoZero"/>
        <c:crossBetween val="midCat"/>
      </c:valAx>
      <c:valAx>
        <c:axId val="497987736"/>
        <c:scaling>
          <c:orientation val="minMax"/>
        </c:scaling>
        <c:delete val="0"/>
        <c:axPos val="l"/>
        <c:title>
          <c:tx>
            <c:rich>
              <a:bodyPr rot="-5400000" vert="horz"/>
              <a:lstStyle/>
              <a:p>
                <a:pPr>
                  <a:defRPr sz="1600" b="0"/>
                </a:pPr>
                <a:r>
                  <a:rPr lang="en-US" sz="1600" b="0"/>
                  <a:t>kg brine / kg crude</a:t>
                </a:r>
              </a:p>
            </c:rich>
          </c:tx>
          <c:overlay val="0"/>
        </c:title>
        <c:numFmt formatCode="0" sourceLinked="0"/>
        <c:majorTickMark val="out"/>
        <c:minorTickMark val="none"/>
        <c:tickLblPos val="nextTo"/>
        <c:txPr>
          <a:bodyPr/>
          <a:lstStyle/>
          <a:p>
            <a:pPr>
              <a:defRPr sz="1400"/>
            </a:pPr>
            <a:endParaRPr lang="en-US"/>
          </a:p>
        </c:txPr>
        <c:crossAx val="497987344"/>
        <c:crosses val="autoZero"/>
        <c:crossBetween val="midCat"/>
      </c:valAx>
      <c:spPr>
        <a:ln>
          <a:solidFill>
            <a:schemeClr val="bg1">
              <a:lumMod val="50000"/>
            </a:schemeClr>
          </a:solidFill>
        </a:ln>
      </c:spPr>
    </c:plotArea>
    <c:legend>
      <c:legendPos val="l"/>
      <c:layout>
        <c:manualLayout>
          <c:xMode val="edge"/>
          <c:yMode val="edge"/>
          <c:x val="0.47916666666666669"/>
          <c:y val="6.4918197725284343E-2"/>
          <c:w val="0.47298712660917386"/>
          <c:h val="0.3063484251968504"/>
        </c:manualLayout>
      </c:layout>
      <c:overlay val="1"/>
      <c:txPr>
        <a:bodyPr/>
        <a:lstStyle/>
        <a:p>
          <a:pPr>
            <a:defRPr sz="1200"/>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2"/>
          <c:order val="0"/>
          <c:tx>
            <c:v>Hydrocarbon Gas Production Rate</c:v>
          </c:tx>
          <c:spPr>
            <a:ln w="28575">
              <a:noFill/>
            </a:ln>
          </c:spPr>
          <c:marker>
            <c:symbol val="triangle"/>
            <c:size val="8"/>
            <c:spPr>
              <a:noFill/>
              <a:ln>
                <a:solidFill>
                  <a:srgbClr val="006600"/>
                </a:solidFill>
              </a:ln>
            </c:spPr>
          </c:marker>
          <c:trendline>
            <c:spPr>
              <a:ln w="12700">
                <a:solidFill>
                  <a:srgbClr val="006600"/>
                </a:solidFill>
                <a:prstDash val="dashDot"/>
              </a:ln>
            </c:spPr>
            <c:trendlineType val="power"/>
            <c:dispRSqr val="0"/>
            <c:dispEq val="1"/>
            <c:trendlineLbl>
              <c:layout>
                <c:manualLayout>
                  <c:x val="9.1891768737241183E-2"/>
                  <c:y val="-0.32126913823272091"/>
                </c:manualLayout>
              </c:layout>
              <c:numFmt formatCode="General" sourceLinked="0"/>
              <c:txPr>
                <a:bodyPr/>
                <a:lstStyle/>
                <a:p>
                  <a:pPr>
                    <a:defRPr sz="1200">
                      <a:solidFill>
                        <a:srgbClr val="006600"/>
                      </a:solidFill>
                    </a:defRPr>
                  </a:pPr>
                  <a:endParaRPr lang="en-US"/>
                </a:p>
              </c:txPr>
            </c:trendlineLbl>
          </c:trendline>
          <c:xVal>
            <c:numRef>
              <c:f>'7. Brine &amp; Gas Correlations'!$B$8:$B$11</c:f>
              <c:numCache>
                <c:formatCode>0.00</c:formatCode>
                <c:ptCount val="4"/>
                <c:pt idx="0">
                  <c:v>2</c:v>
                </c:pt>
                <c:pt idx="1">
                  <c:v>3</c:v>
                </c:pt>
                <c:pt idx="3">
                  <c:v>4.3499999999999996</c:v>
                </c:pt>
              </c:numCache>
            </c:numRef>
          </c:xVal>
          <c:yVal>
            <c:numRef>
              <c:f>'7. Brine &amp; Gas Correlations'!$E$8:$E$11</c:f>
              <c:numCache>
                <c:formatCode>0.000</c:formatCode>
                <c:ptCount val="4"/>
                <c:pt idx="0">
                  <c:v>0.31</c:v>
                </c:pt>
                <c:pt idx="1">
                  <c:v>0.21</c:v>
                </c:pt>
                <c:pt idx="3">
                  <c:v>0.14299999999999999</c:v>
                </c:pt>
              </c:numCache>
            </c:numRef>
          </c:yVal>
          <c:smooth val="0"/>
          <c:extLst>
            <c:ext xmlns:c16="http://schemas.microsoft.com/office/drawing/2014/chart" uri="{C3380CC4-5D6E-409C-BE32-E72D297353CC}">
              <c16:uniqueId val="{00000000-9990-425E-9789-FFE3575B0CAC}"/>
            </c:ext>
          </c:extLst>
        </c:ser>
        <c:dLbls>
          <c:showLegendKey val="0"/>
          <c:showVal val="0"/>
          <c:showCatName val="0"/>
          <c:showSerName val="0"/>
          <c:showPercent val="0"/>
          <c:showBubbleSize val="0"/>
        </c:dLbls>
        <c:axId val="497990088"/>
        <c:axId val="497990480"/>
      </c:scatterChart>
      <c:valAx>
        <c:axId val="497990088"/>
        <c:scaling>
          <c:orientation val="minMax"/>
          <c:max val="5"/>
          <c:min val="1"/>
        </c:scaling>
        <c:delete val="0"/>
        <c:axPos val="b"/>
        <c:title>
          <c:tx>
            <c:rich>
              <a:bodyPr/>
              <a:lstStyle/>
              <a:p>
                <a:pPr>
                  <a:defRPr sz="1600" b="0"/>
                </a:pPr>
                <a:r>
                  <a:rPr lang="en-US" sz="1600" b="0"/>
                  <a:t>Crude Recovery Ratio (bbl/tonne CO</a:t>
                </a:r>
                <a:r>
                  <a:rPr lang="en-US" sz="1600" b="0" baseline="-25000"/>
                  <a:t>2</a:t>
                </a:r>
                <a:r>
                  <a:rPr lang="en-US" sz="1600" b="0"/>
                  <a:t>)</a:t>
                </a:r>
              </a:p>
            </c:rich>
          </c:tx>
          <c:overlay val="0"/>
        </c:title>
        <c:numFmt formatCode="0" sourceLinked="0"/>
        <c:majorTickMark val="out"/>
        <c:minorTickMark val="none"/>
        <c:tickLblPos val="nextTo"/>
        <c:txPr>
          <a:bodyPr/>
          <a:lstStyle/>
          <a:p>
            <a:pPr>
              <a:defRPr sz="1400"/>
            </a:pPr>
            <a:endParaRPr lang="en-US"/>
          </a:p>
        </c:txPr>
        <c:crossAx val="497990480"/>
        <c:crosses val="autoZero"/>
        <c:crossBetween val="midCat"/>
      </c:valAx>
      <c:valAx>
        <c:axId val="497990480"/>
        <c:scaling>
          <c:orientation val="minMax"/>
        </c:scaling>
        <c:delete val="0"/>
        <c:axPos val="l"/>
        <c:title>
          <c:tx>
            <c:rich>
              <a:bodyPr rot="-5400000" vert="horz"/>
              <a:lstStyle/>
              <a:p>
                <a:pPr>
                  <a:defRPr sz="1600" b="0"/>
                </a:pPr>
                <a:r>
                  <a:rPr lang="en-US" sz="1600" b="0"/>
                  <a:t>kg hydrocarbon gas / kg crude</a:t>
                </a:r>
              </a:p>
            </c:rich>
          </c:tx>
          <c:overlay val="0"/>
        </c:title>
        <c:numFmt formatCode="0.00" sourceLinked="0"/>
        <c:majorTickMark val="out"/>
        <c:minorTickMark val="none"/>
        <c:tickLblPos val="nextTo"/>
        <c:txPr>
          <a:bodyPr/>
          <a:lstStyle/>
          <a:p>
            <a:pPr>
              <a:defRPr sz="1400"/>
            </a:pPr>
            <a:endParaRPr lang="en-US"/>
          </a:p>
        </c:txPr>
        <c:crossAx val="497990088"/>
        <c:crosses val="autoZero"/>
        <c:crossBetween val="midCat"/>
      </c:valAx>
      <c:spPr>
        <a:ln>
          <a:solidFill>
            <a:schemeClr val="bg1">
              <a:lumMod val="50000"/>
            </a:schemeClr>
          </a:solidFill>
        </a:ln>
      </c:spPr>
    </c:plotArea>
    <c:legend>
      <c:legendPos val="l"/>
      <c:layout>
        <c:manualLayout>
          <c:xMode val="edge"/>
          <c:yMode val="edge"/>
          <c:x val="0.17824074074074073"/>
          <c:y val="0.62741825240594928"/>
          <c:w val="0.64891313065033529"/>
          <c:h val="0.14315398075240596"/>
        </c:manualLayout>
      </c:layout>
      <c:overlay val="1"/>
      <c:txPr>
        <a:bodyPr/>
        <a:lstStyle/>
        <a:p>
          <a:pPr>
            <a:defRPr sz="1200"/>
          </a:pPr>
          <a:endParaRPr lang="en-US"/>
        </a:p>
      </c:txPr>
    </c:legend>
    <c:plotVisOnly val="1"/>
    <c:dispBlanksAs val="gap"/>
    <c:showDLblsOverMax val="0"/>
  </c:chart>
  <c:printSettings>
    <c:headerFooter/>
    <c:pageMargins b="0.75" l="0.7" r="0.7" t="0.75" header="0.3" footer="0.3"/>
    <c:pageSetup/>
  </c:printSettings>
</c:chartSpace>
</file>

<file path=xl/ctrlProps/ctrlProp1.xml><?xml version="1.0" encoding="utf-8"?>
<formControlPr xmlns="http://schemas.microsoft.com/office/spreadsheetml/2009/9/main" objectType="List" dx="16" fmlaLink="$D$13" fmlaRange="'6. Coal Type Lookup Table'!$B$6:$B$9" sel="1" val="0"/>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12</xdr:row>
          <xdr:rowOff>28575</xdr:rowOff>
        </xdr:from>
        <xdr:to>
          <xdr:col>7</xdr:col>
          <xdr:colOff>628650</xdr:colOff>
          <xdr:row>14</xdr:row>
          <xdr:rowOff>200025</xdr:rowOff>
        </xdr:to>
        <xdr:sp macro="" textlink="">
          <xdr:nvSpPr>
            <xdr:cNvPr id="2049" name="List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1</xdr:colOff>
      <xdr:row>5</xdr:row>
      <xdr:rowOff>0</xdr:rowOff>
    </xdr:from>
    <xdr:to>
      <xdr:col>27</xdr:col>
      <xdr:colOff>1</xdr:colOff>
      <xdr:row>25</xdr:row>
      <xdr:rowOff>0</xdr:rowOff>
    </xdr:to>
    <xdr:graphicFrame macro="">
      <xdr:nvGraphicFramePr>
        <xdr:cNvPr id="4" name="Chart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47</xdr:row>
      <xdr:rowOff>0</xdr:rowOff>
    </xdr:from>
    <xdr:to>
      <xdr:col>3</xdr:col>
      <xdr:colOff>638175</xdr:colOff>
      <xdr:row>70</xdr:row>
      <xdr:rowOff>68226</xdr:rowOff>
    </xdr:to>
    <xdr:pic>
      <xdr:nvPicPr>
        <xdr:cNvPr id="5" name="Picture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0" y="8763000"/>
          <a:ext cx="7267575" cy="4449726"/>
        </a:xfrm>
        <a:prstGeom prst="rect">
          <a:avLst/>
        </a:prstGeom>
        <a:noFill/>
        <a:ln>
          <a:solidFill>
            <a:srgbClr val="00206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5</xdr:col>
      <xdr:colOff>1011555</xdr:colOff>
      <xdr:row>27</xdr:row>
      <xdr:rowOff>129139</xdr:rowOff>
    </xdr:to>
    <xdr:pic>
      <xdr:nvPicPr>
        <xdr:cNvPr id="3" name="Picture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095500"/>
          <a:ext cx="8886825" cy="3367639"/>
        </a:xfrm>
        <a:prstGeom prst="rect">
          <a:avLst/>
        </a:prstGeom>
        <a:noFill/>
        <a:ln>
          <a:solidFill>
            <a:srgbClr val="00206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15</xdr:row>
      <xdr:rowOff>0</xdr:rowOff>
    </xdr:from>
    <xdr:to>
      <xdr:col>11</xdr:col>
      <xdr:colOff>9525</xdr:colOff>
      <xdr:row>33</xdr:row>
      <xdr:rowOff>152400</xdr:rowOff>
    </xdr:to>
    <xdr:pic>
      <xdr:nvPicPr>
        <xdr:cNvPr id="5" name="Picture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7375" y="2895600"/>
          <a:ext cx="6657975" cy="3581400"/>
        </a:xfrm>
        <a:prstGeom prst="rect">
          <a:avLst/>
        </a:prstGeom>
        <a:noFill/>
        <a:ln>
          <a:solidFill>
            <a:srgbClr val="002060"/>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14</xdr:row>
      <xdr:rowOff>0</xdr:rowOff>
    </xdr:from>
    <xdr:to>
      <xdr:col>4</xdr:col>
      <xdr:colOff>1524000</xdr:colOff>
      <xdr:row>33</xdr:row>
      <xdr:rowOff>45720</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0</xdr:rowOff>
    </xdr:from>
    <xdr:to>
      <xdr:col>4</xdr:col>
      <xdr:colOff>1524000</xdr:colOff>
      <xdr:row>54</xdr:row>
      <xdr:rowOff>38100</xdr:rowOff>
    </xdr:to>
    <xdr:graphicFrame macro="">
      <xdr:nvGraphicFramePr>
        <xdr:cNvPr id="9" name="Chart 8">
          <a:extLst>
            <a:ext uri="{FF2B5EF4-FFF2-40B4-BE49-F238E27FC236}">
              <a16:creationId xmlns:a16="http://schemas.microsoft.com/office/drawing/2014/main" id="{00000000-0008-0000-0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M83"/>
  <sheetViews>
    <sheetView tabSelected="1" zoomScaleNormal="100" workbookViewId="0"/>
  </sheetViews>
  <sheetFormatPr defaultColWidth="8.85546875" defaultRowHeight="15" x14ac:dyDescent="0.25"/>
  <cols>
    <col min="1" max="1" width="2.7109375" style="120" customWidth="1"/>
    <col min="2" max="16384" width="8.85546875" style="120"/>
  </cols>
  <sheetData>
    <row r="1" spans="2:13" ht="15.75" thickBot="1" x14ac:dyDescent="0.3"/>
    <row r="2" spans="2:13" ht="18.75" thickBot="1" x14ac:dyDescent="0.4">
      <c r="B2" s="262" t="s">
        <v>776</v>
      </c>
      <c r="C2" s="263"/>
      <c r="D2" s="263"/>
      <c r="E2" s="263"/>
      <c r="F2" s="263"/>
      <c r="G2" s="263"/>
      <c r="H2" s="263"/>
      <c r="I2" s="263"/>
      <c r="J2" s="263"/>
      <c r="K2" s="263"/>
      <c r="L2" s="263"/>
      <c r="M2" s="264"/>
    </row>
    <row r="3" spans="2:13" ht="15.75" thickBot="1" x14ac:dyDescent="0.3"/>
    <row r="4" spans="2:13" x14ac:dyDescent="0.25">
      <c r="B4" s="271" t="s">
        <v>733</v>
      </c>
      <c r="C4" s="272"/>
      <c r="D4" s="272"/>
      <c r="E4" s="272"/>
      <c r="F4" s="272"/>
      <c r="G4" s="272"/>
      <c r="H4" s="272"/>
      <c r="I4" s="272"/>
      <c r="J4" s="272"/>
      <c r="K4" s="272"/>
      <c r="L4" s="272"/>
      <c r="M4" s="273"/>
    </row>
    <row r="5" spans="2:13" ht="15.6" customHeight="1" x14ac:dyDescent="0.25">
      <c r="B5" s="265" t="s">
        <v>867</v>
      </c>
      <c r="C5" s="266"/>
      <c r="D5" s="266"/>
      <c r="E5" s="266"/>
      <c r="F5" s="266"/>
      <c r="G5" s="266"/>
      <c r="H5" s="266"/>
      <c r="I5" s="266"/>
      <c r="J5" s="266"/>
      <c r="K5" s="266"/>
      <c r="L5" s="266"/>
      <c r="M5" s="267"/>
    </row>
    <row r="6" spans="2:13" ht="15.6" customHeight="1" x14ac:dyDescent="0.25">
      <c r="B6" s="265"/>
      <c r="C6" s="266"/>
      <c r="D6" s="266"/>
      <c r="E6" s="266"/>
      <c r="F6" s="266"/>
      <c r="G6" s="266"/>
      <c r="H6" s="266"/>
      <c r="I6" s="266"/>
      <c r="J6" s="266"/>
      <c r="K6" s="266"/>
      <c r="L6" s="266"/>
      <c r="M6" s="267"/>
    </row>
    <row r="7" spans="2:13" ht="15.75" thickBot="1" x14ac:dyDescent="0.3">
      <c r="B7" s="268"/>
      <c r="C7" s="269"/>
      <c r="D7" s="269"/>
      <c r="E7" s="269"/>
      <c r="F7" s="269"/>
      <c r="G7" s="269"/>
      <c r="H7" s="269"/>
      <c r="I7" s="269"/>
      <c r="J7" s="269"/>
      <c r="K7" s="269"/>
      <c r="L7" s="269"/>
      <c r="M7" s="270"/>
    </row>
    <row r="8" spans="2:13" ht="15.75" thickBot="1" x14ac:dyDescent="0.3"/>
    <row r="9" spans="2:13" x14ac:dyDescent="0.25">
      <c r="B9" s="271" t="s">
        <v>734</v>
      </c>
      <c r="C9" s="272"/>
      <c r="D9" s="272"/>
      <c r="E9" s="272"/>
      <c r="F9" s="272"/>
      <c r="G9" s="272"/>
      <c r="H9" s="272"/>
      <c r="I9" s="272"/>
      <c r="J9" s="272"/>
      <c r="K9" s="272"/>
      <c r="L9" s="272"/>
      <c r="M9" s="273"/>
    </row>
    <row r="10" spans="2:13" x14ac:dyDescent="0.25">
      <c r="B10" s="274" t="s">
        <v>744</v>
      </c>
      <c r="C10" s="275"/>
      <c r="D10" s="275"/>
      <c r="E10" s="275"/>
      <c r="F10" s="275"/>
      <c r="G10" s="275"/>
      <c r="H10" s="275"/>
      <c r="I10" s="275"/>
      <c r="J10" s="275"/>
      <c r="K10" s="275"/>
      <c r="L10" s="275"/>
      <c r="M10" s="276"/>
    </row>
    <row r="11" spans="2:13" ht="15.6" customHeight="1" x14ac:dyDescent="0.25">
      <c r="B11" s="265" t="s">
        <v>868</v>
      </c>
      <c r="C11" s="266"/>
      <c r="D11" s="266"/>
      <c r="E11" s="266"/>
      <c r="F11" s="266"/>
      <c r="G11" s="266"/>
      <c r="H11" s="266"/>
      <c r="I11" s="266"/>
      <c r="J11" s="266"/>
      <c r="K11" s="266"/>
      <c r="L11" s="266"/>
      <c r="M11" s="267"/>
    </row>
    <row r="12" spans="2:13" x14ac:dyDescent="0.25">
      <c r="B12" s="265"/>
      <c r="C12" s="266"/>
      <c r="D12" s="266"/>
      <c r="E12" s="266"/>
      <c r="F12" s="266"/>
      <c r="G12" s="266"/>
      <c r="H12" s="266"/>
      <c r="I12" s="266"/>
      <c r="J12" s="266"/>
      <c r="K12" s="266"/>
      <c r="L12" s="266"/>
      <c r="M12" s="267"/>
    </row>
    <row r="13" spans="2:13" x14ac:dyDescent="0.25">
      <c r="B13" s="265"/>
      <c r="C13" s="266"/>
      <c r="D13" s="266"/>
      <c r="E13" s="266"/>
      <c r="F13" s="266"/>
      <c r="G13" s="266"/>
      <c r="H13" s="266"/>
      <c r="I13" s="266"/>
      <c r="J13" s="266"/>
      <c r="K13" s="266"/>
      <c r="L13" s="266"/>
      <c r="M13" s="267"/>
    </row>
    <row r="14" spans="2:13" x14ac:dyDescent="0.25">
      <c r="B14" s="265"/>
      <c r="C14" s="266"/>
      <c r="D14" s="266"/>
      <c r="E14" s="266"/>
      <c r="F14" s="266"/>
      <c r="G14" s="266"/>
      <c r="H14" s="266"/>
      <c r="I14" s="266"/>
      <c r="J14" s="266"/>
      <c r="K14" s="266"/>
      <c r="L14" s="266"/>
      <c r="M14" s="267"/>
    </row>
    <row r="15" spans="2:13" x14ac:dyDescent="0.25">
      <c r="B15" s="265"/>
      <c r="C15" s="266"/>
      <c r="D15" s="266"/>
      <c r="E15" s="266"/>
      <c r="F15" s="266"/>
      <c r="G15" s="266"/>
      <c r="H15" s="266"/>
      <c r="I15" s="266"/>
      <c r="J15" s="266"/>
      <c r="K15" s="266"/>
      <c r="L15" s="266"/>
      <c r="M15" s="267"/>
    </row>
    <row r="16" spans="2:13" x14ac:dyDescent="0.25">
      <c r="B16" s="265"/>
      <c r="C16" s="266"/>
      <c r="D16" s="266"/>
      <c r="E16" s="266"/>
      <c r="F16" s="266"/>
      <c r="G16" s="266"/>
      <c r="H16" s="266"/>
      <c r="I16" s="266"/>
      <c r="J16" s="266"/>
      <c r="K16" s="266"/>
      <c r="L16" s="266"/>
      <c r="M16" s="267"/>
    </row>
    <row r="17" spans="2:13" x14ac:dyDescent="0.25">
      <c r="B17" s="265"/>
      <c r="C17" s="266"/>
      <c r="D17" s="266"/>
      <c r="E17" s="266"/>
      <c r="F17" s="266"/>
      <c r="G17" s="266"/>
      <c r="H17" s="266"/>
      <c r="I17" s="266"/>
      <c r="J17" s="266"/>
      <c r="K17" s="266"/>
      <c r="L17" s="266"/>
      <c r="M17" s="267"/>
    </row>
    <row r="18" spans="2:13" x14ac:dyDescent="0.25">
      <c r="B18" s="265"/>
      <c r="C18" s="266"/>
      <c r="D18" s="266"/>
      <c r="E18" s="266"/>
      <c r="F18" s="266"/>
      <c r="G18" s="266"/>
      <c r="H18" s="266"/>
      <c r="I18" s="266"/>
      <c r="J18" s="266"/>
      <c r="K18" s="266"/>
      <c r="L18" s="266"/>
      <c r="M18" s="267"/>
    </row>
    <row r="19" spans="2:13" ht="15.6" customHeight="1" x14ac:dyDescent="0.25">
      <c r="B19" s="265" t="s">
        <v>777</v>
      </c>
      <c r="C19" s="266"/>
      <c r="D19" s="266"/>
      <c r="E19" s="266"/>
      <c r="F19" s="266"/>
      <c r="G19" s="266"/>
      <c r="H19" s="266"/>
      <c r="I19" s="266"/>
      <c r="J19" s="266"/>
      <c r="K19" s="266"/>
      <c r="L19" s="266"/>
      <c r="M19" s="267"/>
    </row>
    <row r="20" spans="2:13" ht="15.6" customHeight="1" x14ac:dyDescent="0.25">
      <c r="B20" s="265"/>
      <c r="C20" s="266"/>
      <c r="D20" s="266"/>
      <c r="E20" s="266"/>
      <c r="F20" s="266"/>
      <c r="G20" s="266"/>
      <c r="H20" s="266"/>
      <c r="I20" s="266"/>
      <c r="J20" s="266"/>
      <c r="K20" s="266"/>
      <c r="L20" s="266"/>
      <c r="M20" s="267"/>
    </row>
    <row r="21" spans="2:13" ht="15.6" customHeight="1" x14ac:dyDescent="0.25">
      <c r="B21" s="265"/>
      <c r="C21" s="266"/>
      <c r="D21" s="266"/>
      <c r="E21" s="266"/>
      <c r="F21" s="266"/>
      <c r="G21" s="266"/>
      <c r="H21" s="266"/>
      <c r="I21" s="266"/>
      <c r="J21" s="266"/>
      <c r="K21" s="266"/>
      <c r="L21" s="266"/>
      <c r="M21" s="267"/>
    </row>
    <row r="22" spans="2:13" x14ac:dyDescent="0.25">
      <c r="B22" s="265"/>
      <c r="C22" s="266"/>
      <c r="D22" s="266"/>
      <c r="E22" s="266"/>
      <c r="F22" s="266"/>
      <c r="G22" s="266"/>
      <c r="H22" s="266"/>
      <c r="I22" s="266"/>
      <c r="J22" s="266"/>
      <c r="K22" s="266"/>
      <c r="L22" s="266"/>
      <c r="M22" s="267"/>
    </row>
    <row r="23" spans="2:13" x14ac:dyDescent="0.25">
      <c r="B23" s="265"/>
      <c r="C23" s="266"/>
      <c r="D23" s="266"/>
      <c r="E23" s="266"/>
      <c r="F23" s="266"/>
      <c r="G23" s="266"/>
      <c r="H23" s="266"/>
      <c r="I23" s="266"/>
      <c r="J23" s="266"/>
      <c r="K23" s="266"/>
      <c r="L23" s="266"/>
      <c r="M23" s="267"/>
    </row>
    <row r="24" spans="2:13" ht="15.6" customHeight="1" x14ac:dyDescent="0.25">
      <c r="B24" s="265" t="s">
        <v>778</v>
      </c>
      <c r="C24" s="266"/>
      <c r="D24" s="266"/>
      <c r="E24" s="266"/>
      <c r="F24" s="266"/>
      <c r="G24" s="266"/>
      <c r="H24" s="266"/>
      <c r="I24" s="266"/>
      <c r="J24" s="266"/>
      <c r="K24" s="266"/>
      <c r="L24" s="266"/>
      <c r="M24" s="267"/>
    </row>
    <row r="25" spans="2:13" ht="15.6" customHeight="1" x14ac:dyDescent="0.25">
      <c r="B25" s="265"/>
      <c r="C25" s="266"/>
      <c r="D25" s="266"/>
      <c r="E25" s="266"/>
      <c r="F25" s="266"/>
      <c r="G25" s="266"/>
      <c r="H25" s="266"/>
      <c r="I25" s="266"/>
      <c r="J25" s="266"/>
      <c r="K25" s="266"/>
      <c r="L25" s="266"/>
      <c r="M25" s="267"/>
    </row>
    <row r="26" spans="2:13" ht="15.6" customHeight="1" x14ac:dyDescent="0.25">
      <c r="B26" s="265"/>
      <c r="C26" s="266"/>
      <c r="D26" s="266"/>
      <c r="E26" s="266"/>
      <c r="F26" s="266"/>
      <c r="G26" s="266"/>
      <c r="H26" s="266"/>
      <c r="I26" s="266"/>
      <c r="J26" s="266"/>
      <c r="K26" s="266"/>
      <c r="L26" s="266"/>
      <c r="M26" s="267"/>
    </row>
    <row r="27" spans="2:13" ht="15.6" customHeight="1" x14ac:dyDescent="0.25">
      <c r="B27" s="265"/>
      <c r="C27" s="266"/>
      <c r="D27" s="266"/>
      <c r="E27" s="266"/>
      <c r="F27" s="266"/>
      <c r="G27" s="266"/>
      <c r="H27" s="266"/>
      <c r="I27" s="266"/>
      <c r="J27" s="266"/>
      <c r="K27" s="266"/>
      <c r="L27" s="266"/>
      <c r="M27" s="267"/>
    </row>
    <row r="28" spans="2:13" x14ac:dyDescent="0.25">
      <c r="B28" s="265"/>
      <c r="C28" s="266"/>
      <c r="D28" s="266"/>
      <c r="E28" s="266"/>
      <c r="F28" s="266"/>
      <c r="G28" s="266"/>
      <c r="H28" s="266"/>
      <c r="I28" s="266"/>
      <c r="J28" s="266"/>
      <c r="K28" s="266"/>
      <c r="L28" s="266"/>
      <c r="M28" s="267"/>
    </row>
    <row r="29" spans="2:13" x14ac:dyDescent="0.25">
      <c r="B29" s="265"/>
      <c r="C29" s="266"/>
      <c r="D29" s="266"/>
      <c r="E29" s="266"/>
      <c r="F29" s="266"/>
      <c r="G29" s="266"/>
      <c r="H29" s="266"/>
      <c r="I29" s="266"/>
      <c r="J29" s="266"/>
      <c r="K29" s="266"/>
      <c r="L29" s="266"/>
      <c r="M29" s="267"/>
    </row>
    <row r="30" spans="2:13" x14ac:dyDescent="0.25">
      <c r="B30" s="265" t="s">
        <v>869</v>
      </c>
      <c r="C30" s="266"/>
      <c r="D30" s="266"/>
      <c r="E30" s="266"/>
      <c r="F30" s="266"/>
      <c r="G30" s="266"/>
      <c r="H30" s="266"/>
      <c r="I30" s="266"/>
      <c r="J30" s="266"/>
      <c r="K30" s="266"/>
      <c r="L30" s="266"/>
      <c r="M30" s="267"/>
    </row>
    <row r="31" spans="2:13" x14ac:dyDescent="0.25">
      <c r="B31" s="265"/>
      <c r="C31" s="266"/>
      <c r="D31" s="266"/>
      <c r="E31" s="266"/>
      <c r="F31" s="266"/>
      <c r="G31" s="266"/>
      <c r="H31" s="266"/>
      <c r="I31" s="266"/>
      <c r="J31" s="266"/>
      <c r="K31" s="266"/>
      <c r="L31" s="266"/>
      <c r="M31" s="267"/>
    </row>
    <row r="32" spans="2:13" x14ac:dyDescent="0.25">
      <c r="B32" s="265"/>
      <c r="C32" s="266"/>
      <c r="D32" s="266"/>
      <c r="E32" s="266"/>
      <c r="F32" s="266"/>
      <c r="G32" s="266"/>
      <c r="H32" s="266"/>
      <c r="I32" s="266"/>
      <c r="J32" s="266"/>
      <c r="K32" s="266"/>
      <c r="L32" s="266"/>
      <c r="M32" s="267"/>
    </row>
    <row r="33" spans="2:13" x14ac:dyDescent="0.25">
      <c r="B33" s="265"/>
      <c r="C33" s="266"/>
      <c r="D33" s="266"/>
      <c r="E33" s="266"/>
      <c r="F33" s="266"/>
      <c r="G33" s="266"/>
      <c r="H33" s="266"/>
      <c r="I33" s="266"/>
      <c r="J33" s="266"/>
      <c r="K33" s="266"/>
      <c r="L33" s="266"/>
      <c r="M33" s="267"/>
    </row>
    <row r="34" spans="2:13" x14ac:dyDescent="0.25">
      <c r="B34" s="265"/>
      <c r="C34" s="266"/>
      <c r="D34" s="266"/>
      <c r="E34" s="266"/>
      <c r="F34" s="266"/>
      <c r="G34" s="266"/>
      <c r="H34" s="266"/>
      <c r="I34" s="266"/>
      <c r="J34" s="266"/>
      <c r="K34" s="266"/>
      <c r="L34" s="266"/>
      <c r="M34" s="267"/>
    </row>
    <row r="35" spans="2:13" x14ac:dyDescent="0.25">
      <c r="B35" s="265"/>
      <c r="C35" s="266"/>
      <c r="D35" s="266"/>
      <c r="E35" s="266"/>
      <c r="F35" s="266"/>
      <c r="G35" s="266"/>
      <c r="H35" s="266"/>
      <c r="I35" s="266"/>
      <c r="J35" s="266"/>
      <c r="K35" s="266"/>
      <c r="L35" s="266"/>
      <c r="M35" s="267"/>
    </row>
    <row r="36" spans="2:13" x14ac:dyDescent="0.25">
      <c r="B36" s="265"/>
      <c r="C36" s="266"/>
      <c r="D36" s="266"/>
      <c r="E36" s="266"/>
      <c r="F36" s="266"/>
      <c r="G36" s="266"/>
      <c r="H36" s="266"/>
      <c r="I36" s="266"/>
      <c r="J36" s="266"/>
      <c r="K36" s="266"/>
      <c r="L36" s="266"/>
      <c r="M36" s="267"/>
    </row>
    <row r="37" spans="2:13" x14ac:dyDescent="0.25">
      <c r="B37" s="265" t="s">
        <v>779</v>
      </c>
      <c r="C37" s="266"/>
      <c r="D37" s="266"/>
      <c r="E37" s="266"/>
      <c r="F37" s="266"/>
      <c r="G37" s="266"/>
      <c r="H37" s="266"/>
      <c r="I37" s="266"/>
      <c r="J37" s="266"/>
      <c r="K37" s="266"/>
      <c r="L37" s="266"/>
      <c r="M37" s="267"/>
    </row>
    <row r="38" spans="2:13" x14ac:dyDescent="0.25">
      <c r="B38" s="265"/>
      <c r="C38" s="266"/>
      <c r="D38" s="266"/>
      <c r="E38" s="266"/>
      <c r="F38" s="266"/>
      <c r="G38" s="266"/>
      <c r="H38" s="266"/>
      <c r="I38" s="266"/>
      <c r="J38" s="266"/>
      <c r="K38" s="266"/>
      <c r="L38" s="266"/>
      <c r="M38" s="267"/>
    </row>
    <row r="39" spans="2:13" x14ac:dyDescent="0.25">
      <c r="B39" s="265"/>
      <c r="C39" s="266"/>
      <c r="D39" s="266"/>
      <c r="E39" s="266"/>
      <c r="F39" s="266"/>
      <c r="G39" s="266"/>
      <c r="H39" s="266"/>
      <c r="I39" s="266"/>
      <c r="J39" s="266"/>
      <c r="K39" s="266"/>
      <c r="L39" s="266"/>
      <c r="M39" s="267"/>
    </row>
    <row r="40" spans="2:13" x14ac:dyDescent="0.25">
      <c r="B40" s="265"/>
      <c r="C40" s="266"/>
      <c r="D40" s="266"/>
      <c r="E40" s="266"/>
      <c r="F40" s="266"/>
      <c r="G40" s="266"/>
      <c r="H40" s="266"/>
      <c r="I40" s="266"/>
      <c r="J40" s="266"/>
      <c r="K40" s="266"/>
      <c r="L40" s="266"/>
      <c r="M40" s="267"/>
    </row>
    <row r="41" spans="2:13" x14ac:dyDescent="0.25">
      <c r="B41" s="265" t="s">
        <v>780</v>
      </c>
      <c r="C41" s="266"/>
      <c r="D41" s="266"/>
      <c r="E41" s="266"/>
      <c r="F41" s="266"/>
      <c r="G41" s="266"/>
      <c r="H41" s="266"/>
      <c r="I41" s="266"/>
      <c r="J41" s="266"/>
      <c r="K41" s="266"/>
      <c r="L41" s="266"/>
      <c r="M41" s="267"/>
    </row>
    <row r="42" spans="2:13" x14ac:dyDescent="0.25">
      <c r="B42" s="265"/>
      <c r="C42" s="266"/>
      <c r="D42" s="266"/>
      <c r="E42" s="266"/>
      <c r="F42" s="266"/>
      <c r="G42" s="266"/>
      <c r="H42" s="266"/>
      <c r="I42" s="266"/>
      <c r="J42" s="266"/>
      <c r="K42" s="266"/>
      <c r="L42" s="266"/>
      <c r="M42" s="267"/>
    </row>
    <row r="43" spans="2:13" x14ac:dyDescent="0.25">
      <c r="B43" s="265"/>
      <c r="C43" s="266"/>
      <c r="D43" s="266"/>
      <c r="E43" s="266"/>
      <c r="F43" s="266"/>
      <c r="G43" s="266"/>
      <c r="H43" s="266"/>
      <c r="I43" s="266"/>
      <c r="J43" s="266"/>
      <c r="K43" s="266"/>
      <c r="L43" s="266"/>
      <c r="M43" s="267"/>
    </row>
    <row r="44" spans="2:13" x14ac:dyDescent="0.25">
      <c r="B44" s="265"/>
      <c r="C44" s="266"/>
      <c r="D44" s="266"/>
      <c r="E44" s="266"/>
      <c r="F44" s="266"/>
      <c r="G44" s="266"/>
      <c r="H44" s="266"/>
      <c r="I44" s="266"/>
      <c r="J44" s="266"/>
      <c r="K44" s="266"/>
      <c r="L44" s="266"/>
      <c r="M44" s="267"/>
    </row>
    <row r="45" spans="2:13" x14ac:dyDescent="0.25">
      <c r="B45" s="265" t="s">
        <v>781</v>
      </c>
      <c r="C45" s="266"/>
      <c r="D45" s="266"/>
      <c r="E45" s="266"/>
      <c r="F45" s="266"/>
      <c r="G45" s="266"/>
      <c r="H45" s="266"/>
      <c r="I45" s="266"/>
      <c r="J45" s="266"/>
      <c r="K45" s="266"/>
      <c r="L45" s="266"/>
      <c r="M45" s="267"/>
    </row>
    <row r="46" spans="2:13" x14ac:dyDescent="0.25">
      <c r="B46" s="265"/>
      <c r="C46" s="266"/>
      <c r="D46" s="266"/>
      <c r="E46" s="266"/>
      <c r="F46" s="266"/>
      <c r="G46" s="266"/>
      <c r="H46" s="266"/>
      <c r="I46" s="266"/>
      <c r="J46" s="266"/>
      <c r="K46" s="266"/>
      <c r="L46" s="266"/>
      <c r="M46" s="267"/>
    </row>
    <row r="47" spans="2:13" x14ac:dyDescent="0.25">
      <c r="B47" s="265"/>
      <c r="C47" s="266"/>
      <c r="D47" s="266"/>
      <c r="E47" s="266"/>
      <c r="F47" s="266"/>
      <c r="G47" s="266"/>
      <c r="H47" s="266"/>
      <c r="I47" s="266"/>
      <c r="J47" s="266"/>
      <c r="K47" s="266"/>
      <c r="L47" s="266"/>
      <c r="M47" s="267"/>
    </row>
    <row r="48" spans="2:13" x14ac:dyDescent="0.25">
      <c r="B48" s="265"/>
      <c r="C48" s="266"/>
      <c r="D48" s="266"/>
      <c r="E48" s="266"/>
      <c r="F48" s="266"/>
      <c r="G48" s="266"/>
      <c r="H48" s="266"/>
      <c r="I48" s="266"/>
      <c r="J48" s="266"/>
      <c r="K48" s="266"/>
      <c r="L48" s="266"/>
      <c r="M48" s="267"/>
    </row>
    <row r="49" spans="2:13" x14ac:dyDescent="0.25">
      <c r="B49" s="265"/>
      <c r="C49" s="266"/>
      <c r="D49" s="266"/>
      <c r="E49" s="266"/>
      <c r="F49" s="266"/>
      <c r="G49" s="266"/>
      <c r="H49" s="266"/>
      <c r="I49" s="266"/>
      <c r="J49" s="266"/>
      <c r="K49" s="266"/>
      <c r="L49" s="266"/>
      <c r="M49" s="267"/>
    </row>
    <row r="50" spans="2:13" x14ac:dyDescent="0.25">
      <c r="B50" s="286" t="s">
        <v>743</v>
      </c>
      <c r="C50" s="287"/>
      <c r="D50" s="287"/>
      <c r="E50" s="287"/>
      <c r="F50" s="287"/>
      <c r="G50" s="287"/>
      <c r="H50" s="287"/>
      <c r="I50" s="287"/>
      <c r="J50" s="287"/>
      <c r="K50" s="287"/>
      <c r="L50" s="287"/>
      <c r="M50" s="288"/>
    </row>
    <row r="51" spans="2:13" ht="15.75" thickBot="1" x14ac:dyDescent="0.3">
      <c r="B51" s="289"/>
      <c r="C51" s="290"/>
      <c r="D51" s="290"/>
      <c r="E51" s="290"/>
      <c r="F51" s="290"/>
      <c r="G51" s="290"/>
      <c r="H51" s="290"/>
      <c r="I51" s="290"/>
      <c r="J51" s="290"/>
      <c r="K51" s="290"/>
      <c r="L51" s="290"/>
      <c r="M51" s="291"/>
    </row>
    <row r="52" spans="2:13" ht="15.75" thickBot="1" x14ac:dyDescent="0.3"/>
    <row r="53" spans="2:13" x14ac:dyDescent="0.25">
      <c r="B53" s="271" t="s">
        <v>735</v>
      </c>
      <c r="C53" s="272"/>
      <c r="D53" s="272"/>
      <c r="E53" s="272"/>
      <c r="F53" s="272"/>
      <c r="G53" s="272"/>
      <c r="H53" s="272"/>
      <c r="I53" s="272"/>
      <c r="J53" s="272"/>
      <c r="K53" s="272"/>
      <c r="L53" s="272"/>
      <c r="M53" s="273"/>
    </row>
    <row r="54" spans="2:13" x14ac:dyDescent="0.25">
      <c r="B54" s="265" t="s">
        <v>870</v>
      </c>
      <c r="C54" s="266"/>
      <c r="D54" s="266"/>
      <c r="E54" s="266"/>
      <c r="F54" s="266"/>
      <c r="G54" s="266"/>
      <c r="H54" s="266"/>
      <c r="I54" s="266"/>
      <c r="J54" s="266"/>
      <c r="K54" s="266"/>
      <c r="L54" s="266"/>
      <c r="M54" s="267"/>
    </row>
    <row r="55" spans="2:13" x14ac:dyDescent="0.25">
      <c r="B55" s="265"/>
      <c r="C55" s="266"/>
      <c r="D55" s="266"/>
      <c r="E55" s="266"/>
      <c r="F55" s="266"/>
      <c r="G55" s="266"/>
      <c r="H55" s="266"/>
      <c r="I55" s="266"/>
      <c r="J55" s="266"/>
      <c r="K55" s="266"/>
      <c r="L55" s="266"/>
      <c r="M55" s="267"/>
    </row>
    <row r="56" spans="2:13" x14ac:dyDescent="0.25">
      <c r="B56" s="265"/>
      <c r="C56" s="266"/>
      <c r="D56" s="266"/>
      <c r="E56" s="266"/>
      <c r="F56" s="266"/>
      <c r="G56" s="266"/>
      <c r="H56" s="266"/>
      <c r="I56" s="266"/>
      <c r="J56" s="266"/>
      <c r="K56" s="266"/>
      <c r="L56" s="266"/>
      <c r="M56" s="267"/>
    </row>
    <row r="57" spans="2:13" ht="15.75" thickBot="1" x14ac:dyDescent="0.3">
      <c r="B57" s="268"/>
      <c r="C57" s="269"/>
      <c r="D57" s="269"/>
      <c r="E57" s="269"/>
      <c r="F57" s="269"/>
      <c r="G57" s="269"/>
      <c r="H57" s="269"/>
      <c r="I57" s="269"/>
      <c r="J57" s="269"/>
      <c r="K57" s="269"/>
      <c r="L57" s="269"/>
      <c r="M57" s="270"/>
    </row>
    <row r="58" spans="2:13" ht="15.75" thickBot="1" x14ac:dyDescent="0.3"/>
    <row r="59" spans="2:13" x14ac:dyDescent="0.25">
      <c r="B59" s="283" t="s">
        <v>727</v>
      </c>
      <c r="C59" s="284"/>
      <c r="D59" s="284"/>
      <c r="E59" s="284"/>
      <c r="F59" s="284"/>
      <c r="G59" s="284"/>
      <c r="H59" s="284"/>
      <c r="I59" s="284"/>
      <c r="J59" s="284"/>
      <c r="K59" s="284"/>
      <c r="L59" s="284"/>
      <c r="M59" s="285"/>
    </row>
    <row r="60" spans="2:13" x14ac:dyDescent="0.25">
      <c r="B60" s="277" t="s">
        <v>728</v>
      </c>
      <c r="C60" s="278"/>
      <c r="D60" s="278"/>
      <c r="E60" s="278"/>
      <c r="F60" s="278"/>
      <c r="G60" s="278"/>
      <c r="H60" s="278"/>
      <c r="I60" s="278"/>
      <c r="J60" s="278"/>
      <c r="K60" s="278"/>
      <c r="L60" s="278"/>
      <c r="M60" s="279"/>
    </row>
    <row r="61" spans="2:13" x14ac:dyDescent="0.25">
      <c r="B61" s="277"/>
      <c r="C61" s="278"/>
      <c r="D61" s="278"/>
      <c r="E61" s="278"/>
      <c r="F61" s="278"/>
      <c r="G61" s="278"/>
      <c r="H61" s="278"/>
      <c r="I61" s="278"/>
      <c r="J61" s="278"/>
      <c r="K61" s="278"/>
      <c r="L61" s="278"/>
      <c r="M61" s="279"/>
    </row>
    <row r="62" spans="2:13" x14ac:dyDescent="0.25">
      <c r="B62" s="277"/>
      <c r="C62" s="278"/>
      <c r="D62" s="278"/>
      <c r="E62" s="278"/>
      <c r="F62" s="278"/>
      <c r="G62" s="278"/>
      <c r="H62" s="278"/>
      <c r="I62" s="278"/>
      <c r="J62" s="278"/>
      <c r="K62" s="278"/>
      <c r="L62" s="278"/>
      <c r="M62" s="279"/>
    </row>
    <row r="63" spans="2:13" x14ac:dyDescent="0.25">
      <c r="B63" s="277"/>
      <c r="C63" s="278"/>
      <c r="D63" s="278"/>
      <c r="E63" s="278"/>
      <c r="F63" s="278"/>
      <c r="G63" s="278"/>
      <c r="H63" s="278"/>
      <c r="I63" s="278"/>
      <c r="J63" s="278"/>
      <c r="K63" s="278"/>
      <c r="L63" s="278"/>
      <c r="M63" s="279"/>
    </row>
    <row r="64" spans="2:13" x14ac:dyDescent="0.25">
      <c r="B64" s="277"/>
      <c r="C64" s="278"/>
      <c r="D64" s="278"/>
      <c r="E64" s="278"/>
      <c r="F64" s="278"/>
      <c r="G64" s="278"/>
      <c r="H64" s="278"/>
      <c r="I64" s="278"/>
      <c r="J64" s="278"/>
      <c r="K64" s="278"/>
      <c r="L64" s="278"/>
      <c r="M64" s="279"/>
    </row>
    <row r="65" spans="2:13" x14ac:dyDescent="0.25">
      <c r="B65" s="277"/>
      <c r="C65" s="278"/>
      <c r="D65" s="278"/>
      <c r="E65" s="278"/>
      <c r="F65" s="278"/>
      <c r="G65" s="278"/>
      <c r="H65" s="278"/>
      <c r="I65" s="278"/>
      <c r="J65" s="278"/>
      <c r="K65" s="278"/>
      <c r="L65" s="278"/>
      <c r="M65" s="279"/>
    </row>
    <row r="66" spans="2:13" x14ac:dyDescent="0.25">
      <c r="B66" s="277"/>
      <c r="C66" s="278"/>
      <c r="D66" s="278"/>
      <c r="E66" s="278"/>
      <c r="F66" s="278"/>
      <c r="G66" s="278"/>
      <c r="H66" s="278"/>
      <c r="I66" s="278"/>
      <c r="J66" s="278"/>
      <c r="K66" s="278"/>
      <c r="L66" s="278"/>
      <c r="M66" s="279"/>
    </row>
    <row r="67" spans="2:13" ht="15.75" thickBot="1" x14ac:dyDescent="0.3">
      <c r="B67" s="280"/>
      <c r="C67" s="281"/>
      <c r="D67" s="281"/>
      <c r="E67" s="281"/>
      <c r="F67" s="281"/>
      <c r="G67" s="281"/>
      <c r="H67" s="281"/>
      <c r="I67" s="281"/>
      <c r="J67" s="281"/>
      <c r="K67" s="281"/>
      <c r="L67" s="281"/>
      <c r="M67" s="282"/>
    </row>
    <row r="68" spans="2:13" ht="15.75" thickBot="1" x14ac:dyDescent="0.3">
      <c r="B68" s="121"/>
    </row>
    <row r="69" spans="2:13" x14ac:dyDescent="0.25">
      <c r="B69" s="283" t="s">
        <v>729</v>
      </c>
      <c r="C69" s="284"/>
      <c r="D69" s="284"/>
      <c r="E69" s="284"/>
      <c r="F69" s="284"/>
      <c r="G69" s="284"/>
      <c r="H69" s="284"/>
      <c r="I69" s="284"/>
      <c r="J69" s="284"/>
      <c r="K69" s="284"/>
      <c r="L69" s="284"/>
      <c r="M69" s="285"/>
    </row>
    <row r="70" spans="2:13" x14ac:dyDescent="0.25">
      <c r="B70" s="277" t="s">
        <v>732</v>
      </c>
      <c r="C70" s="278"/>
      <c r="D70" s="278"/>
      <c r="E70" s="278"/>
      <c r="F70" s="278"/>
      <c r="G70" s="278"/>
      <c r="H70" s="278"/>
      <c r="I70" s="278"/>
      <c r="J70" s="278"/>
      <c r="K70" s="278"/>
      <c r="L70" s="278"/>
      <c r="M70" s="279"/>
    </row>
    <row r="71" spans="2:13" x14ac:dyDescent="0.25">
      <c r="B71" s="277"/>
      <c r="C71" s="278"/>
      <c r="D71" s="278"/>
      <c r="E71" s="278"/>
      <c r="F71" s="278"/>
      <c r="G71" s="278"/>
      <c r="H71" s="278"/>
      <c r="I71" s="278"/>
      <c r="J71" s="278"/>
      <c r="K71" s="278"/>
      <c r="L71" s="278"/>
      <c r="M71" s="279"/>
    </row>
    <row r="72" spans="2:13" x14ac:dyDescent="0.25">
      <c r="B72" s="277"/>
      <c r="C72" s="278"/>
      <c r="D72" s="278"/>
      <c r="E72" s="278"/>
      <c r="F72" s="278"/>
      <c r="G72" s="278"/>
      <c r="H72" s="278"/>
      <c r="I72" s="278"/>
      <c r="J72" s="278"/>
      <c r="K72" s="278"/>
      <c r="L72" s="278"/>
      <c r="M72" s="279"/>
    </row>
    <row r="73" spans="2:13" ht="15.75" thickBot="1" x14ac:dyDescent="0.3">
      <c r="B73" s="280"/>
      <c r="C73" s="281"/>
      <c r="D73" s="281"/>
      <c r="E73" s="281"/>
      <c r="F73" s="281"/>
      <c r="G73" s="281"/>
      <c r="H73" s="281"/>
      <c r="I73" s="281"/>
      <c r="J73" s="281"/>
      <c r="K73" s="281"/>
      <c r="L73" s="281"/>
      <c r="M73" s="282"/>
    </row>
    <row r="74" spans="2:13" ht="15.75" thickBot="1" x14ac:dyDescent="0.3">
      <c r="B74" s="121"/>
    </row>
    <row r="75" spans="2:13" x14ac:dyDescent="0.25">
      <c r="B75" s="283" t="s">
        <v>730</v>
      </c>
      <c r="C75" s="284"/>
      <c r="D75" s="284"/>
      <c r="E75" s="284"/>
      <c r="F75" s="284"/>
      <c r="G75" s="284"/>
      <c r="H75" s="284"/>
      <c r="I75" s="284"/>
      <c r="J75" s="284"/>
      <c r="K75" s="284"/>
      <c r="L75" s="284"/>
      <c r="M75" s="285"/>
    </row>
    <row r="76" spans="2:13" x14ac:dyDescent="0.25">
      <c r="B76" s="277" t="s">
        <v>731</v>
      </c>
      <c r="C76" s="278"/>
      <c r="D76" s="278"/>
      <c r="E76" s="278"/>
      <c r="F76" s="278"/>
      <c r="G76" s="278"/>
      <c r="H76" s="278"/>
      <c r="I76" s="278"/>
      <c r="J76" s="278"/>
      <c r="K76" s="278"/>
      <c r="L76" s="278"/>
      <c r="M76" s="279"/>
    </row>
    <row r="77" spans="2:13" x14ac:dyDescent="0.25">
      <c r="B77" s="277"/>
      <c r="C77" s="278"/>
      <c r="D77" s="278"/>
      <c r="E77" s="278"/>
      <c r="F77" s="278"/>
      <c r="G77" s="278"/>
      <c r="H77" s="278"/>
      <c r="I77" s="278"/>
      <c r="J77" s="278"/>
      <c r="K77" s="278"/>
      <c r="L77" s="278"/>
      <c r="M77" s="279"/>
    </row>
    <row r="78" spans="2:13" x14ac:dyDescent="0.25">
      <c r="B78" s="277"/>
      <c r="C78" s="278"/>
      <c r="D78" s="278"/>
      <c r="E78" s="278"/>
      <c r="F78" s="278"/>
      <c r="G78" s="278"/>
      <c r="H78" s="278"/>
      <c r="I78" s="278"/>
      <c r="J78" s="278"/>
      <c r="K78" s="278"/>
      <c r="L78" s="278"/>
      <c r="M78" s="279"/>
    </row>
    <row r="79" spans="2:13" x14ac:dyDescent="0.25">
      <c r="B79" s="277"/>
      <c r="C79" s="278"/>
      <c r="D79" s="278"/>
      <c r="E79" s="278"/>
      <c r="F79" s="278"/>
      <c r="G79" s="278"/>
      <c r="H79" s="278"/>
      <c r="I79" s="278"/>
      <c r="J79" s="278"/>
      <c r="K79" s="278"/>
      <c r="L79" s="278"/>
      <c r="M79" s="279"/>
    </row>
    <row r="80" spans="2:13" x14ac:dyDescent="0.25">
      <c r="B80" s="277"/>
      <c r="C80" s="278"/>
      <c r="D80" s="278"/>
      <c r="E80" s="278"/>
      <c r="F80" s="278"/>
      <c r="G80" s="278"/>
      <c r="H80" s="278"/>
      <c r="I80" s="278"/>
      <c r="J80" s="278"/>
      <c r="K80" s="278"/>
      <c r="L80" s="278"/>
      <c r="M80" s="279"/>
    </row>
    <row r="81" spans="2:13" x14ac:dyDescent="0.25">
      <c r="B81" s="277"/>
      <c r="C81" s="278"/>
      <c r="D81" s="278"/>
      <c r="E81" s="278"/>
      <c r="F81" s="278"/>
      <c r="G81" s="278"/>
      <c r="H81" s="278"/>
      <c r="I81" s="278"/>
      <c r="J81" s="278"/>
      <c r="K81" s="278"/>
      <c r="L81" s="278"/>
      <c r="M81" s="279"/>
    </row>
    <row r="82" spans="2:13" x14ac:dyDescent="0.25">
      <c r="B82" s="277"/>
      <c r="C82" s="278"/>
      <c r="D82" s="278"/>
      <c r="E82" s="278"/>
      <c r="F82" s="278"/>
      <c r="G82" s="278"/>
      <c r="H82" s="278"/>
      <c r="I82" s="278"/>
      <c r="J82" s="278"/>
      <c r="K82" s="278"/>
      <c r="L82" s="278"/>
      <c r="M82" s="279"/>
    </row>
    <row r="83" spans="2:13" ht="15.75" thickBot="1" x14ac:dyDescent="0.3">
      <c r="B83" s="280"/>
      <c r="C83" s="281"/>
      <c r="D83" s="281"/>
      <c r="E83" s="281"/>
      <c r="F83" s="281"/>
      <c r="G83" s="281"/>
      <c r="H83" s="281"/>
      <c r="I83" s="281"/>
      <c r="J83" s="281"/>
      <c r="K83" s="281"/>
      <c r="L83" s="281"/>
      <c r="M83" s="282"/>
    </row>
  </sheetData>
  <mergeCells count="21">
    <mergeCell ref="B70:M73"/>
    <mergeCell ref="B69:M69"/>
    <mergeCell ref="B76:M83"/>
    <mergeCell ref="B75:M75"/>
    <mergeCell ref="B11:M18"/>
    <mergeCell ref="B19:M23"/>
    <mergeCell ref="B24:M29"/>
    <mergeCell ref="B30:M36"/>
    <mergeCell ref="B60:M67"/>
    <mergeCell ref="B59:M59"/>
    <mergeCell ref="B53:M53"/>
    <mergeCell ref="B37:M40"/>
    <mergeCell ref="B41:M44"/>
    <mergeCell ref="B45:M49"/>
    <mergeCell ref="B54:M57"/>
    <mergeCell ref="B50:M51"/>
    <mergeCell ref="B2:M2"/>
    <mergeCell ref="B5:M7"/>
    <mergeCell ref="B4:M4"/>
    <mergeCell ref="B9:M9"/>
    <mergeCell ref="B10:M10"/>
  </mergeCells>
  <pageMargins left="0.7" right="0.7" top="0.75" bottom="0.75" header="0.3" footer="0.3"/>
  <pageSetup scale="84" fitToHeight="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M445"/>
  <sheetViews>
    <sheetView zoomScale="130" zoomScaleNormal="130" workbookViewId="0">
      <pane ySplit="1" topLeftCell="A2" activePane="bottomLeft" state="frozen"/>
      <selection pane="bottomLeft"/>
    </sheetView>
  </sheetViews>
  <sheetFormatPr defaultColWidth="9.140625" defaultRowHeight="18" customHeight="1" x14ac:dyDescent="0.2"/>
  <cols>
    <col min="1" max="1" width="15.7109375" style="49" customWidth="1"/>
    <col min="2" max="2" width="65.7109375" style="49" customWidth="1"/>
    <col min="3" max="3" width="55.7109375" style="49" customWidth="1"/>
    <col min="4" max="4" width="35.7109375" style="49" customWidth="1"/>
    <col min="5" max="7" width="9.7109375" style="49" customWidth="1"/>
    <col min="8" max="8" width="12.7109375" style="49" customWidth="1"/>
    <col min="9" max="9" width="92.7109375" style="50" customWidth="1"/>
    <col min="10" max="12" width="12.7109375" style="18" customWidth="1"/>
    <col min="13" max="13" width="18.5703125" style="18" bestFit="1" customWidth="1"/>
    <col min="14" max="16384" width="9.140625" style="19"/>
  </cols>
  <sheetData>
    <row r="1" spans="1:13" s="23" customFormat="1" ht="18" customHeight="1" x14ac:dyDescent="0.25">
      <c r="A1" s="22" t="s">
        <v>128</v>
      </c>
      <c r="B1" s="22" t="s">
        <v>129</v>
      </c>
      <c r="C1" s="22" t="s">
        <v>130</v>
      </c>
      <c r="D1" s="22" t="s">
        <v>131</v>
      </c>
      <c r="E1" s="22" t="s">
        <v>705</v>
      </c>
      <c r="F1" s="22" t="s">
        <v>133</v>
      </c>
      <c r="G1" s="22" t="s">
        <v>706</v>
      </c>
      <c r="H1" s="22" t="s">
        <v>692</v>
      </c>
      <c r="I1" s="22" t="s">
        <v>135</v>
      </c>
      <c r="J1" s="22" t="s">
        <v>136</v>
      </c>
      <c r="K1" s="22" t="s">
        <v>707</v>
      </c>
      <c r="L1" s="22" t="s">
        <v>708</v>
      </c>
      <c r="M1" s="22" t="s">
        <v>746</v>
      </c>
    </row>
    <row r="2" spans="1:13" ht="18" customHeight="1" x14ac:dyDescent="0.2">
      <c r="A2" s="70" t="s">
        <v>782</v>
      </c>
      <c r="B2" s="71"/>
      <c r="C2" s="71"/>
      <c r="D2" s="71"/>
      <c r="E2" s="71"/>
      <c r="F2" s="71"/>
      <c r="G2" s="71"/>
      <c r="H2" s="71"/>
      <c r="I2" s="71"/>
      <c r="J2" s="72"/>
      <c r="K2" s="90"/>
      <c r="L2" s="90"/>
    </row>
    <row r="3" spans="1:13" ht="18" customHeight="1" x14ac:dyDescent="0.2">
      <c r="A3" s="24" t="s">
        <v>10</v>
      </c>
      <c r="B3" s="24" t="s">
        <v>16</v>
      </c>
      <c r="C3" s="24" t="s">
        <v>16</v>
      </c>
      <c r="D3" s="24" t="s">
        <v>419</v>
      </c>
      <c r="E3" s="211">
        <v>13</v>
      </c>
      <c r="F3" s="211">
        <v>18</v>
      </c>
      <c r="G3" s="211">
        <v>26</v>
      </c>
      <c r="H3" s="24" t="s">
        <v>693</v>
      </c>
      <c r="I3" s="26" t="s">
        <v>30</v>
      </c>
      <c r="J3" s="28">
        <f>F3</f>
        <v>18</v>
      </c>
      <c r="K3" s="28">
        <f>E3</f>
        <v>13</v>
      </c>
      <c r="L3" s="28">
        <f>G3</f>
        <v>26</v>
      </c>
    </row>
    <row r="4" spans="1:13" ht="18" customHeight="1" x14ac:dyDescent="0.2">
      <c r="A4" s="24" t="s">
        <v>10</v>
      </c>
      <c r="B4" s="227" t="s">
        <v>16</v>
      </c>
      <c r="C4" s="24" t="s">
        <v>31</v>
      </c>
      <c r="D4" s="24" t="s">
        <v>419</v>
      </c>
      <c r="E4" s="25"/>
      <c r="F4" s="25"/>
      <c r="G4" s="25"/>
      <c r="H4" s="24" t="s">
        <v>20</v>
      </c>
      <c r="I4" s="26" t="s">
        <v>15</v>
      </c>
      <c r="J4" s="28">
        <f>J3 / J11</f>
        <v>60</v>
      </c>
      <c r="K4" s="28">
        <f>K3 / K11</f>
        <v>36.111111111111114</v>
      </c>
      <c r="L4" s="28">
        <f>L3 / L11</f>
        <v>89.65517241379311</v>
      </c>
    </row>
    <row r="5" spans="1:13" ht="18" customHeight="1" x14ac:dyDescent="0.2">
      <c r="A5" s="24" t="s">
        <v>10</v>
      </c>
      <c r="B5" s="227" t="s">
        <v>16</v>
      </c>
      <c r="C5" s="24" t="s">
        <v>123</v>
      </c>
      <c r="D5" s="24" t="s">
        <v>122</v>
      </c>
      <c r="E5" s="25"/>
      <c r="F5" s="25"/>
      <c r="G5" s="25"/>
      <c r="H5" s="24" t="s">
        <v>20</v>
      </c>
      <c r="I5" s="26" t="s">
        <v>302</v>
      </c>
      <c r="J5" s="28">
        <f>(J12 / J17) * 1000</f>
        <v>389.10474708196108</v>
      </c>
      <c r="K5" s="28">
        <f>(K12 / K17) * 1000</f>
        <v>324.25395590163424</v>
      </c>
      <c r="L5" s="28">
        <f>(L12 / L17) * 1000</f>
        <v>402.52215215375293</v>
      </c>
    </row>
    <row r="6" spans="1:13" ht="18" customHeight="1" x14ac:dyDescent="0.2">
      <c r="A6" s="24" t="s">
        <v>10</v>
      </c>
      <c r="B6" s="227" t="s">
        <v>16</v>
      </c>
      <c r="C6" s="24" t="s">
        <v>112</v>
      </c>
      <c r="D6" s="24" t="s">
        <v>49</v>
      </c>
      <c r="E6" s="25"/>
      <c r="F6" s="25"/>
      <c r="G6" s="25"/>
      <c r="H6" s="24" t="s">
        <v>20</v>
      </c>
      <c r="I6" s="26" t="s">
        <v>420</v>
      </c>
      <c r="J6" s="29">
        <f>J5 * J56 / J21</f>
        <v>60542984.308048964</v>
      </c>
      <c r="K6" s="29">
        <f>K5 * K56 / K21</f>
        <v>68312655.578821465</v>
      </c>
      <c r="L6" s="29">
        <f>L5 * L56 / L21</f>
        <v>36230104.833767809</v>
      </c>
    </row>
    <row r="7" spans="1:13" ht="18" customHeight="1" x14ac:dyDescent="0.2">
      <c r="A7" s="24" t="s">
        <v>10</v>
      </c>
      <c r="B7" s="227" t="s">
        <v>16</v>
      </c>
      <c r="C7" s="24" t="s">
        <v>112</v>
      </c>
      <c r="D7" s="24" t="s">
        <v>120</v>
      </c>
      <c r="E7" s="25"/>
      <c r="F7" s="25"/>
      <c r="G7" s="25"/>
      <c r="H7" s="24" t="s">
        <v>20</v>
      </c>
      <c r="I7" s="26" t="s">
        <v>127</v>
      </c>
      <c r="J7" s="30">
        <f>J6 * '5. Unit Conversions'!D19</f>
        <v>6.0542984308048969E-2</v>
      </c>
      <c r="K7" s="30">
        <f>K6 * '5. Unit Conversions'!D19</f>
        <v>6.8312655578821463E-2</v>
      </c>
      <c r="L7" s="30">
        <f>L6 * '5. Unit Conversions'!D19</f>
        <v>3.6230104833767811E-2</v>
      </c>
    </row>
    <row r="8" spans="1:13" ht="18" customHeight="1" x14ac:dyDescent="0.2">
      <c r="A8" s="24" t="s">
        <v>10</v>
      </c>
      <c r="B8" s="227" t="s">
        <v>16</v>
      </c>
      <c r="C8" s="24" t="s">
        <v>829</v>
      </c>
      <c r="D8" s="24" t="s">
        <v>421</v>
      </c>
      <c r="E8" s="25"/>
      <c r="F8" s="25"/>
      <c r="G8" s="25"/>
      <c r="H8" s="24" t="s">
        <v>20</v>
      </c>
      <c r="I8" s="26" t="s">
        <v>422</v>
      </c>
      <c r="J8" s="29">
        <f>J4 * J23</f>
        <v>9335735.6488836948</v>
      </c>
      <c r="K8" s="29">
        <f>K4 * K23</f>
        <v>7607758.8291636119</v>
      </c>
      <c r="L8" s="29">
        <f>L4 * L23</f>
        <v>8069658.4723628284</v>
      </c>
    </row>
    <row r="9" spans="1:13" ht="18" customHeight="1" x14ac:dyDescent="0.2">
      <c r="A9" s="24" t="s">
        <v>10</v>
      </c>
      <c r="B9" s="227" t="s">
        <v>16</v>
      </c>
      <c r="C9" s="24" t="s">
        <v>830</v>
      </c>
      <c r="D9" s="24" t="s">
        <v>423</v>
      </c>
      <c r="E9" s="25"/>
      <c r="F9" s="25"/>
      <c r="G9" s="25"/>
      <c r="H9" s="24" t="s">
        <v>20</v>
      </c>
      <c r="I9" s="26" t="s">
        <v>424</v>
      </c>
      <c r="J9" s="28">
        <f>J8 / J50</f>
        <v>30.91303194994601</v>
      </c>
      <c r="K9" s="28">
        <f>K8 / K50</f>
        <v>25.191254401204013</v>
      </c>
      <c r="L9" s="28">
        <f>L8 / L50</f>
        <v>26.720723418419961</v>
      </c>
    </row>
    <row r="10" spans="1:13" ht="18" customHeight="1" x14ac:dyDescent="0.2">
      <c r="A10" s="70" t="s">
        <v>137</v>
      </c>
      <c r="B10" s="71"/>
      <c r="C10" s="71"/>
      <c r="D10" s="71"/>
      <c r="E10" s="71"/>
      <c r="F10" s="71"/>
      <c r="G10" s="71"/>
      <c r="H10" s="71"/>
      <c r="I10" s="71"/>
      <c r="J10" s="72"/>
      <c r="K10" s="90"/>
      <c r="L10" s="90"/>
    </row>
    <row r="11" spans="1:13" ht="18" customHeight="1" x14ac:dyDescent="0.2">
      <c r="A11" s="24" t="s">
        <v>10</v>
      </c>
      <c r="B11" s="24" t="s">
        <v>39</v>
      </c>
      <c r="C11" s="24" t="s">
        <v>11</v>
      </c>
      <c r="D11" s="24" t="s">
        <v>12</v>
      </c>
      <c r="E11" s="212">
        <v>0.28999999999999998</v>
      </c>
      <c r="F11" s="210">
        <v>0.3</v>
      </c>
      <c r="G11" s="212">
        <v>0.36</v>
      </c>
      <c r="H11" s="24" t="s">
        <v>693</v>
      </c>
      <c r="I11" s="26" t="s">
        <v>752</v>
      </c>
      <c r="J11" s="42">
        <f>F11</f>
        <v>0.3</v>
      </c>
      <c r="K11" s="42">
        <f>G11</f>
        <v>0.36</v>
      </c>
      <c r="L11" s="42">
        <f>E11</f>
        <v>0.28999999999999998</v>
      </c>
    </row>
    <row r="12" spans="1:13" ht="18" customHeight="1" x14ac:dyDescent="0.2">
      <c r="A12" s="24" t="s">
        <v>10</v>
      </c>
      <c r="B12" s="24" t="s">
        <v>39</v>
      </c>
      <c r="C12" s="24" t="s">
        <v>17</v>
      </c>
      <c r="D12" s="24" t="s">
        <v>18</v>
      </c>
      <c r="E12" s="32"/>
      <c r="F12" s="32"/>
      <c r="G12" s="32"/>
      <c r="H12" s="24" t="s">
        <v>20</v>
      </c>
      <c r="I12" s="26" t="s">
        <v>19</v>
      </c>
      <c r="J12" s="29">
        <f>3600 / J11</f>
        <v>12000</v>
      </c>
      <c r="K12" s="29">
        <f>3600 / K11</f>
        <v>10000</v>
      </c>
      <c r="L12" s="29">
        <f>3600 / L11</f>
        <v>12413.793103448277</v>
      </c>
    </row>
    <row r="13" spans="1:13" ht="18" customHeight="1" x14ac:dyDescent="0.2">
      <c r="A13" s="302" t="s">
        <v>10</v>
      </c>
      <c r="B13" s="302" t="s">
        <v>39</v>
      </c>
      <c r="C13" s="302" t="s">
        <v>21</v>
      </c>
      <c r="D13" s="292">
        <v>1</v>
      </c>
      <c r="E13" s="293"/>
      <c r="F13" s="293"/>
      <c r="G13" s="293"/>
      <c r="H13" s="294"/>
      <c r="I13" s="301" t="s">
        <v>32</v>
      </c>
      <c r="J13" s="31"/>
      <c r="K13" s="31"/>
      <c r="L13" s="31"/>
    </row>
    <row r="14" spans="1:13" ht="18" customHeight="1" x14ac:dyDescent="0.2">
      <c r="A14" s="302"/>
      <c r="B14" s="302"/>
      <c r="C14" s="302"/>
      <c r="D14" s="295"/>
      <c r="E14" s="296"/>
      <c r="F14" s="296"/>
      <c r="G14" s="296"/>
      <c r="H14" s="297"/>
      <c r="I14" s="301"/>
      <c r="J14" s="31"/>
      <c r="K14" s="31"/>
      <c r="L14" s="31"/>
    </row>
    <row r="15" spans="1:13" ht="18" customHeight="1" x14ac:dyDescent="0.2">
      <c r="A15" s="302"/>
      <c r="B15" s="302"/>
      <c r="C15" s="302"/>
      <c r="D15" s="298"/>
      <c r="E15" s="299"/>
      <c r="F15" s="299"/>
      <c r="G15" s="299"/>
      <c r="H15" s="300"/>
      <c r="I15" s="301"/>
      <c r="J15" s="31"/>
      <c r="K15" s="31"/>
      <c r="L15" s="31"/>
    </row>
    <row r="16" spans="1:13" ht="18" customHeight="1" x14ac:dyDescent="0.2">
      <c r="A16" s="24" t="s">
        <v>10</v>
      </c>
      <c r="B16" s="24" t="s">
        <v>39</v>
      </c>
      <c r="C16" s="24" t="s">
        <v>33</v>
      </c>
      <c r="D16" s="24" t="s">
        <v>48</v>
      </c>
      <c r="E16" s="25"/>
      <c r="F16" s="222">
        <f>VLOOKUP(D13,'6. Coal Type Lookup Table'!$A$6:$F$9,5,FALSE)</f>
        <v>8.5666735200000002</v>
      </c>
      <c r="G16" s="25"/>
      <c r="H16" s="24" t="s">
        <v>693</v>
      </c>
      <c r="I16" s="26" t="s">
        <v>34</v>
      </c>
      <c r="J16" s="35">
        <f>F16</f>
        <v>8.5666735200000002</v>
      </c>
      <c r="K16" s="35">
        <f>J16</f>
        <v>8.5666735200000002</v>
      </c>
      <c r="L16" s="35">
        <f>J16</f>
        <v>8.5666735200000002</v>
      </c>
    </row>
    <row r="17" spans="1:12" ht="18" customHeight="1" x14ac:dyDescent="0.2">
      <c r="A17" s="24" t="s">
        <v>10</v>
      </c>
      <c r="B17" s="24" t="s">
        <v>39</v>
      </c>
      <c r="C17" s="24" t="s">
        <v>33</v>
      </c>
      <c r="D17" s="24" t="s">
        <v>124</v>
      </c>
      <c r="E17" s="25"/>
      <c r="F17" s="32"/>
      <c r="G17" s="25"/>
      <c r="H17" s="24" t="s">
        <v>20</v>
      </c>
      <c r="I17" s="26" t="s">
        <v>254</v>
      </c>
      <c r="J17" s="29">
        <f>J16 * '5. Unit Conversions'!D12</f>
        <v>30840.024672</v>
      </c>
      <c r="K17" s="29">
        <f>K16 * '5. Unit Conversions'!D12</f>
        <v>30840.024672</v>
      </c>
      <c r="L17" s="29">
        <f>L16 * '5. Unit Conversions'!D12</f>
        <v>30840.024672</v>
      </c>
    </row>
    <row r="18" spans="1:12" ht="18" customHeight="1" x14ac:dyDescent="0.2">
      <c r="A18" s="24" t="s">
        <v>10</v>
      </c>
      <c r="B18" s="24" t="s">
        <v>39</v>
      </c>
      <c r="C18" s="24" t="s">
        <v>35</v>
      </c>
      <c r="D18" s="24" t="s">
        <v>75</v>
      </c>
      <c r="E18" s="25"/>
      <c r="F18" s="216">
        <f>VLOOKUP(D13,'6. Coal Type Lookup Table'!$A$6:$F$9,6,FALSE)</f>
        <v>0.73809999999999998</v>
      </c>
      <c r="G18" s="25"/>
      <c r="H18" s="24" t="s">
        <v>693</v>
      </c>
      <c r="I18" s="26" t="s">
        <v>34</v>
      </c>
      <c r="J18" s="37">
        <f>F18</f>
        <v>0.73809999999999998</v>
      </c>
      <c r="K18" s="37">
        <f>J18</f>
        <v>0.73809999999999998</v>
      </c>
      <c r="L18" s="37">
        <f>J18</f>
        <v>0.73809999999999998</v>
      </c>
    </row>
    <row r="19" spans="1:12" ht="18" customHeight="1" x14ac:dyDescent="0.2">
      <c r="A19" s="24" t="s">
        <v>10</v>
      </c>
      <c r="B19" s="24" t="s">
        <v>39</v>
      </c>
      <c r="C19" s="24" t="s">
        <v>36</v>
      </c>
      <c r="D19" s="24" t="s">
        <v>425</v>
      </c>
      <c r="E19" s="38"/>
      <c r="F19" s="38"/>
      <c r="G19" s="38"/>
      <c r="H19" s="24" t="s">
        <v>20</v>
      </c>
      <c r="I19" s="26" t="s">
        <v>255</v>
      </c>
      <c r="J19" s="28">
        <f>(J18 / J16) * (44 / 12) * 1000 / J11</f>
        <v>1053.0601173443833</v>
      </c>
      <c r="K19" s="28">
        <f>(K18 / K16) * (44 / 12) * 1000 / K11</f>
        <v>877.55009778698616</v>
      </c>
      <c r="L19" s="28">
        <f>(L18 / L16) * (44 / 12) * 1000 / L11</f>
        <v>1089.372535183845</v>
      </c>
    </row>
    <row r="20" spans="1:12" ht="18" customHeight="1" x14ac:dyDescent="0.2">
      <c r="A20" s="24" t="s">
        <v>10</v>
      </c>
      <c r="B20" s="24" t="s">
        <v>39</v>
      </c>
      <c r="C20" s="24" t="s">
        <v>426</v>
      </c>
      <c r="D20" s="24" t="s">
        <v>75</v>
      </c>
      <c r="E20" s="209">
        <v>0.8</v>
      </c>
      <c r="F20" s="209">
        <v>0.85</v>
      </c>
      <c r="G20" s="209">
        <v>0.9</v>
      </c>
      <c r="H20" s="24" t="s">
        <v>693</v>
      </c>
      <c r="I20" s="26" t="s">
        <v>37</v>
      </c>
      <c r="J20" s="40">
        <f>F20</f>
        <v>0.85</v>
      </c>
      <c r="K20" s="40">
        <f>G20</f>
        <v>0.9</v>
      </c>
      <c r="L20" s="40">
        <f>E20</f>
        <v>0.8</v>
      </c>
    </row>
    <row r="21" spans="1:12" ht="18" customHeight="1" x14ac:dyDescent="0.2">
      <c r="A21" s="24" t="s">
        <v>10</v>
      </c>
      <c r="B21" s="24" t="s">
        <v>39</v>
      </c>
      <c r="C21" s="24" t="s">
        <v>427</v>
      </c>
      <c r="D21" s="24" t="s">
        <v>425</v>
      </c>
      <c r="E21" s="24"/>
      <c r="F21" s="24"/>
      <c r="G21" s="24"/>
      <c r="H21" s="24" t="s">
        <v>20</v>
      </c>
      <c r="I21" s="26" t="s">
        <v>428</v>
      </c>
      <c r="J21" s="29">
        <f>J19 * J20</f>
        <v>895.10109974272586</v>
      </c>
      <c r="K21" s="29">
        <f>K19 * K20</f>
        <v>789.79508800828751</v>
      </c>
      <c r="L21" s="29">
        <f>L19 * L20</f>
        <v>871.49802814707607</v>
      </c>
    </row>
    <row r="22" spans="1:12" ht="18" customHeight="1" x14ac:dyDescent="0.2">
      <c r="A22" s="24" t="s">
        <v>10</v>
      </c>
      <c r="B22" s="24" t="s">
        <v>39</v>
      </c>
      <c r="C22" s="24" t="s">
        <v>429</v>
      </c>
      <c r="D22" s="24" t="s">
        <v>425</v>
      </c>
      <c r="E22" s="24"/>
      <c r="F22" s="24"/>
      <c r="G22" s="24"/>
      <c r="H22" s="24" t="s">
        <v>20</v>
      </c>
      <c r="I22" s="26" t="s">
        <v>428</v>
      </c>
      <c r="J22" s="28">
        <f>J19 - J21</f>
        <v>157.95901760165748</v>
      </c>
      <c r="K22" s="28">
        <f>K19 - K21</f>
        <v>87.75500977869865</v>
      </c>
      <c r="L22" s="28">
        <f>L19 - L21</f>
        <v>217.87450703676893</v>
      </c>
    </row>
    <row r="23" spans="1:12" ht="18" customHeight="1" x14ac:dyDescent="0.2">
      <c r="A23" s="24" t="s">
        <v>10</v>
      </c>
      <c r="B23" s="24" t="s">
        <v>39</v>
      </c>
      <c r="C23" s="24" t="s">
        <v>121</v>
      </c>
      <c r="D23" s="24" t="s">
        <v>102</v>
      </c>
      <c r="E23" s="24"/>
      <c r="F23" s="24"/>
      <c r="G23" s="24"/>
      <c r="H23" s="24" t="s">
        <v>20</v>
      </c>
      <c r="I23" s="26" t="s">
        <v>430</v>
      </c>
      <c r="J23" s="29">
        <f>J56 / J21</f>
        <v>155595.59414806159</v>
      </c>
      <c r="K23" s="29">
        <f>K56 / K21</f>
        <v>210676.39834606924</v>
      </c>
      <c r="L23" s="29">
        <f>L56 / L21</f>
        <v>90007.72911481616</v>
      </c>
    </row>
    <row r="24" spans="1:12" ht="18" customHeight="1" x14ac:dyDescent="0.2">
      <c r="A24" s="24" t="s">
        <v>10</v>
      </c>
      <c r="B24" s="24" t="s">
        <v>39</v>
      </c>
      <c r="C24" s="24" t="s">
        <v>431</v>
      </c>
      <c r="D24" s="24" t="s">
        <v>432</v>
      </c>
      <c r="E24" s="24"/>
      <c r="F24" s="24"/>
      <c r="G24" s="24"/>
      <c r="H24" s="24" t="s">
        <v>20</v>
      </c>
      <c r="I24" s="26" t="s">
        <v>433</v>
      </c>
      <c r="J24" s="29">
        <f>J23 * J22</f>
        <v>24577727.194774013</v>
      </c>
      <c r="K24" s="29">
        <f>K23 * K22</f>
        <v>18487909.397000317</v>
      </c>
      <c r="L24" s="29">
        <f>L23 * L22</f>
        <v>19610389.610389605</v>
      </c>
    </row>
    <row r="25" spans="1:12" ht="18" customHeight="1" x14ac:dyDescent="0.2">
      <c r="A25" s="24" t="s">
        <v>10</v>
      </c>
      <c r="B25" s="24" t="s">
        <v>39</v>
      </c>
      <c r="C25" s="24" t="s">
        <v>434</v>
      </c>
      <c r="D25" s="24" t="s">
        <v>435</v>
      </c>
      <c r="E25" s="24"/>
      <c r="F25" s="24"/>
      <c r="G25" s="24"/>
      <c r="H25" s="24" t="s">
        <v>20</v>
      </c>
      <c r="I25" s="26" t="s">
        <v>424</v>
      </c>
      <c r="J25" s="29">
        <f>J24 / J50</f>
        <v>81.383202631702034</v>
      </c>
      <c r="K25" s="29">
        <f>K24 / K50</f>
        <v>61.218243036424887</v>
      </c>
      <c r="L25" s="29">
        <f>L24 / L50</f>
        <v>64.935064935064915</v>
      </c>
    </row>
    <row r="26" spans="1:12" ht="18" customHeight="1" x14ac:dyDescent="0.2">
      <c r="A26" s="70" t="s">
        <v>436</v>
      </c>
      <c r="B26" s="71"/>
      <c r="C26" s="71"/>
      <c r="D26" s="71"/>
      <c r="E26" s="71"/>
      <c r="F26" s="71"/>
      <c r="G26" s="71"/>
      <c r="H26" s="71"/>
      <c r="I26" s="71"/>
      <c r="J26" s="72"/>
      <c r="K26" s="90"/>
      <c r="L26" s="90"/>
    </row>
    <row r="27" spans="1:12" ht="18" customHeight="1" x14ac:dyDescent="0.2">
      <c r="A27" s="24" t="s">
        <v>10</v>
      </c>
      <c r="B27" s="24" t="s">
        <v>437</v>
      </c>
      <c r="C27" s="24" t="s">
        <v>438</v>
      </c>
      <c r="D27" s="24" t="s">
        <v>115</v>
      </c>
      <c r="E27" s="24"/>
      <c r="F27" s="210">
        <v>6.5</v>
      </c>
      <c r="G27" s="24"/>
      <c r="H27" s="24" t="s">
        <v>693</v>
      </c>
      <c r="I27" s="26" t="s">
        <v>38</v>
      </c>
      <c r="J27" s="42">
        <f>F27</f>
        <v>6.5</v>
      </c>
      <c r="K27" s="42">
        <f>J27</f>
        <v>6.5</v>
      </c>
      <c r="L27" s="42">
        <f>J27</f>
        <v>6.5</v>
      </c>
    </row>
    <row r="28" spans="1:12" ht="18" customHeight="1" x14ac:dyDescent="0.2">
      <c r="A28" s="24" t="s">
        <v>10</v>
      </c>
      <c r="B28" s="24" t="s">
        <v>437</v>
      </c>
      <c r="C28" s="24" t="s">
        <v>439</v>
      </c>
      <c r="D28" s="24" t="s">
        <v>114</v>
      </c>
      <c r="E28" s="24"/>
      <c r="F28" s="43"/>
      <c r="G28" s="24"/>
      <c r="H28" s="24" t="s">
        <v>20</v>
      </c>
      <c r="I28" s="26" t="s">
        <v>256</v>
      </c>
      <c r="J28" s="44">
        <f>J27 * '5. Unit Conversions'!D10</f>
        <v>6.4999999999999996E-6</v>
      </c>
      <c r="K28" s="44">
        <f>K27 * '5. Unit Conversions'!D10</f>
        <v>6.4999999999999996E-6</v>
      </c>
      <c r="L28" s="44">
        <f>L27 * '5. Unit Conversions'!D10</f>
        <v>6.4999999999999996E-6</v>
      </c>
    </row>
    <row r="29" spans="1:12" ht="18" customHeight="1" x14ac:dyDescent="0.2">
      <c r="A29" s="24" t="s">
        <v>10</v>
      </c>
      <c r="B29" s="24" t="s">
        <v>437</v>
      </c>
      <c r="C29" s="24" t="s">
        <v>440</v>
      </c>
      <c r="D29" s="24" t="s">
        <v>49</v>
      </c>
      <c r="E29" s="24"/>
      <c r="F29" s="24"/>
      <c r="G29" s="24"/>
      <c r="H29" s="24" t="s">
        <v>20</v>
      </c>
      <c r="I29" s="26" t="s">
        <v>441</v>
      </c>
      <c r="J29" s="29">
        <f>J56</f>
        <v>139273787.43705276</v>
      </c>
      <c r="K29" s="29">
        <f>K56</f>
        <v>166391184.57300279</v>
      </c>
      <c r="L29" s="29">
        <f>L56</f>
        <v>78441558.44155845</v>
      </c>
    </row>
    <row r="30" spans="1:12" ht="18" customHeight="1" x14ac:dyDescent="0.2">
      <c r="A30" s="24" t="s">
        <v>10</v>
      </c>
      <c r="B30" s="24" t="s">
        <v>437</v>
      </c>
      <c r="C30" s="24" t="s">
        <v>442</v>
      </c>
      <c r="D30" s="24" t="s">
        <v>102</v>
      </c>
      <c r="E30" s="24"/>
      <c r="F30" s="24"/>
      <c r="G30" s="24"/>
      <c r="H30" s="24" t="s">
        <v>20</v>
      </c>
      <c r="I30" s="26" t="s">
        <v>443</v>
      </c>
      <c r="J30" s="29">
        <f>J28 * J29</f>
        <v>905.27961834084283</v>
      </c>
      <c r="K30" s="29">
        <f>K28 * K29</f>
        <v>1081.5426997245181</v>
      </c>
      <c r="L30" s="29">
        <f>L28 * L29</f>
        <v>509.87012987012992</v>
      </c>
    </row>
    <row r="31" spans="1:12" ht="18" customHeight="1" x14ac:dyDescent="0.2">
      <c r="A31" s="24" t="s">
        <v>10</v>
      </c>
      <c r="B31" s="24" t="s">
        <v>437</v>
      </c>
      <c r="C31" s="24" t="s">
        <v>444</v>
      </c>
      <c r="D31" s="24" t="s">
        <v>419</v>
      </c>
      <c r="E31" s="24"/>
      <c r="F31" s="211">
        <v>660</v>
      </c>
      <c r="G31" s="24"/>
      <c r="H31" s="24" t="s">
        <v>693</v>
      </c>
      <c r="I31" s="26" t="s">
        <v>748</v>
      </c>
      <c r="J31" s="28">
        <f>F31</f>
        <v>660</v>
      </c>
      <c r="K31" s="28">
        <f>J31</f>
        <v>660</v>
      </c>
      <c r="L31" s="28">
        <f>J31</f>
        <v>660</v>
      </c>
    </row>
    <row r="32" spans="1:12" ht="18" customHeight="1" x14ac:dyDescent="0.2">
      <c r="A32" s="24" t="s">
        <v>10</v>
      </c>
      <c r="B32" s="24" t="s">
        <v>437</v>
      </c>
      <c r="C32" s="24" t="s">
        <v>113</v>
      </c>
      <c r="D32" s="24" t="s">
        <v>421</v>
      </c>
      <c r="E32" s="24"/>
      <c r="F32" s="24"/>
      <c r="G32" s="24"/>
      <c r="H32" s="24" t="s">
        <v>20</v>
      </c>
      <c r="I32" s="26" t="s">
        <v>445</v>
      </c>
      <c r="J32" s="29">
        <f>J31 * J30</f>
        <v>597484.54810495628</v>
      </c>
      <c r="K32" s="29">
        <f>K31 * K30</f>
        <v>713818.181818182</v>
      </c>
      <c r="L32" s="29">
        <f>L31 * L30</f>
        <v>336514.28571428574</v>
      </c>
    </row>
    <row r="33" spans="1:13" ht="18" customHeight="1" x14ac:dyDescent="0.2">
      <c r="A33" s="24" t="s">
        <v>10</v>
      </c>
      <c r="B33" s="24" t="s">
        <v>437</v>
      </c>
      <c r="C33" s="24" t="s">
        <v>177</v>
      </c>
      <c r="D33" s="24" t="s">
        <v>423</v>
      </c>
      <c r="E33" s="24"/>
      <c r="F33" s="24"/>
      <c r="G33" s="24"/>
      <c r="H33" s="24" t="s">
        <v>20</v>
      </c>
      <c r="I33" s="26" t="s">
        <v>424</v>
      </c>
      <c r="J33" s="28">
        <f>J32 / J50</f>
        <v>1.9784256559766764</v>
      </c>
      <c r="K33" s="28">
        <f>K32 / K50</f>
        <v>2.3636363636363642</v>
      </c>
      <c r="L33" s="28">
        <f>L32 / L50</f>
        <v>1.1142857142857143</v>
      </c>
    </row>
    <row r="34" spans="1:13" ht="18" customHeight="1" x14ac:dyDescent="0.2">
      <c r="A34" s="70" t="s">
        <v>446</v>
      </c>
      <c r="B34" s="71"/>
      <c r="C34" s="71"/>
      <c r="D34" s="71"/>
      <c r="E34" s="71"/>
      <c r="F34" s="71"/>
      <c r="G34" s="71"/>
      <c r="H34" s="71"/>
      <c r="I34" s="71"/>
      <c r="J34" s="72"/>
      <c r="K34" s="90"/>
      <c r="L34" s="90"/>
    </row>
    <row r="35" spans="1:13" ht="18" customHeight="1" x14ac:dyDescent="0.2">
      <c r="A35" s="24" t="s">
        <v>10</v>
      </c>
      <c r="B35" s="24" t="s">
        <v>437</v>
      </c>
      <c r="C35" s="24" t="s">
        <v>45</v>
      </c>
      <c r="D35" s="24" t="s">
        <v>46</v>
      </c>
      <c r="E35" s="212">
        <v>100</v>
      </c>
      <c r="F35" s="212">
        <v>500</v>
      </c>
      <c r="G35" s="212">
        <v>1000</v>
      </c>
      <c r="H35" s="24" t="s">
        <v>693</v>
      </c>
      <c r="I35" s="26" t="s">
        <v>47</v>
      </c>
      <c r="J35" s="31">
        <f>F35</f>
        <v>500</v>
      </c>
      <c r="K35" s="31">
        <f>E35</f>
        <v>100</v>
      </c>
      <c r="L35" s="31">
        <f>G35</f>
        <v>1000</v>
      </c>
    </row>
    <row r="36" spans="1:13" ht="18" customHeight="1" x14ac:dyDescent="0.2">
      <c r="A36" s="24" t="s">
        <v>10</v>
      </c>
      <c r="B36" s="24" t="s">
        <v>437</v>
      </c>
      <c r="C36" s="24" t="s">
        <v>447</v>
      </c>
      <c r="D36" s="24" t="s">
        <v>448</v>
      </c>
      <c r="E36" s="213">
        <f>F36 / 10</f>
        <v>7.46240577829965</v>
      </c>
      <c r="F36" s="214">
        <f>45*(SQRT(44/16))</f>
        <v>74.624057782996502</v>
      </c>
      <c r="G36" s="214">
        <f>170*(SQRT(44/16))</f>
        <v>281.91310718020901</v>
      </c>
      <c r="H36" s="24" t="s">
        <v>693</v>
      </c>
      <c r="I36" s="26" t="s">
        <v>250</v>
      </c>
      <c r="J36" s="29">
        <f>F36</f>
        <v>74.624057782996502</v>
      </c>
      <c r="K36" s="28">
        <f>E36</f>
        <v>7.46240577829965</v>
      </c>
      <c r="L36" s="28">
        <f>G36</f>
        <v>281.91310718020901</v>
      </c>
    </row>
    <row r="37" spans="1:13" ht="18" customHeight="1" x14ac:dyDescent="0.2">
      <c r="A37" s="24" t="s">
        <v>10</v>
      </c>
      <c r="B37" s="24" t="s">
        <v>437</v>
      </c>
      <c r="C37" s="24" t="s">
        <v>447</v>
      </c>
      <c r="D37" s="24" t="s">
        <v>449</v>
      </c>
      <c r="E37" s="45"/>
      <c r="F37" s="32"/>
      <c r="G37" s="32"/>
      <c r="H37" s="24" t="s">
        <v>20</v>
      </c>
      <c r="I37" s="26" t="s">
        <v>450</v>
      </c>
      <c r="J37" s="29">
        <f>J36 * J35</f>
        <v>37312.028891498252</v>
      </c>
      <c r="K37" s="29">
        <f>K36 * K35</f>
        <v>746.24057782996499</v>
      </c>
      <c r="L37" s="29">
        <f>L36 * L35</f>
        <v>281913.10718020902</v>
      </c>
    </row>
    <row r="38" spans="1:13" ht="18" customHeight="1" x14ac:dyDescent="0.2">
      <c r="A38" s="24" t="s">
        <v>10</v>
      </c>
      <c r="B38" s="24" t="s">
        <v>437</v>
      </c>
      <c r="C38" s="24" t="s">
        <v>451</v>
      </c>
      <c r="D38" s="24" t="s">
        <v>452</v>
      </c>
      <c r="E38" s="213">
        <f>F38 / 10</f>
        <v>0.36482872693909402</v>
      </c>
      <c r="F38" s="213">
        <f>2.2*(SQRT(44/16))</f>
        <v>3.6482872693909401</v>
      </c>
      <c r="G38" s="213">
        <f>3.3*(SQRT(44/16))</f>
        <v>5.4724309040864094</v>
      </c>
      <c r="H38" s="24" t="s">
        <v>693</v>
      </c>
      <c r="I38" s="26" t="s">
        <v>250</v>
      </c>
      <c r="J38" s="29">
        <f>F38</f>
        <v>3.6482872693909401</v>
      </c>
      <c r="K38" s="29">
        <f>J38</f>
        <v>3.6482872693909401</v>
      </c>
      <c r="L38" s="29">
        <f>J38</f>
        <v>3.6482872693909401</v>
      </c>
    </row>
    <row r="39" spans="1:13" ht="18" customHeight="1" x14ac:dyDescent="0.2">
      <c r="A39" s="24" t="s">
        <v>10</v>
      </c>
      <c r="B39" s="24" t="s">
        <v>437</v>
      </c>
      <c r="C39" s="24" t="s">
        <v>252</v>
      </c>
      <c r="D39" s="24" t="s">
        <v>253</v>
      </c>
      <c r="E39" s="214">
        <v>10</v>
      </c>
      <c r="F39" s="214">
        <v>15</v>
      </c>
      <c r="G39" s="214">
        <v>20</v>
      </c>
      <c r="H39" s="24" t="s">
        <v>693</v>
      </c>
      <c r="I39" s="26" t="s">
        <v>251</v>
      </c>
      <c r="J39" s="29">
        <f>F39</f>
        <v>15</v>
      </c>
      <c r="K39" s="29">
        <f>J39</f>
        <v>15</v>
      </c>
      <c r="L39" s="29">
        <f>J39</f>
        <v>15</v>
      </c>
    </row>
    <row r="40" spans="1:13" ht="18" customHeight="1" x14ac:dyDescent="0.2">
      <c r="A40" s="24" t="s">
        <v>10</v>
      </c>
      <c r="B40" s="24" t="s">
        <v>437</v>
      </c>
      <c r="C40" s="24" t="s">
        <v>451</v>
      </c>
      <c r="D40" s="24" t="s">
        <v>449</v>
      </c>
      <c r="E40" s="38"/>
      <c r="F40" s="32"/>
      <c r="G40" s="32"/>
      <c r="H40" s="24" t="s">
        <v>20</v>
      </c>
      <c r="I40" s="26" t="s">
        <v>453</v>
      </c>
      <c r="J40" s="29">
        <f>J38 * J39</f>
        <v>54.7243090408641</v>
      </c>
      <c r="K40" s="29">
        <f>K38 * K39</f>
        <v>54.7243090408641</v>
      </c>
      <c r="L40" s="29">
        <f>L38 * L39</f>
        <v>54.7243090408641</v>
      </c>
    </row>
    <row r="41" spans="1:13" ht="18" customHeight="1" x14ac:dyDescent="0.2">
      <c r="A41" s="24" t="s">
        <v>10</v>
      </c>
      <c r="B41" s="24" t="s">
        <v>437</v>
      </c>
      <c r="C41" s="24" t="s">
        <v>454</v>
      </c>
      <c r="D41" s="24" t="s">
        <v>50</v>
      </c>
      <c r="E41" s="211">
        <v>20</v>
      </c>
      <c r="F41" s="212">
        <v>25</v>
      </c>
      <c r="G41" s="214">
        <v>30</v>
      </c>
      <c r="H41" s="24" t="s">
        <v>693</v>
      </c>
      <c r="I41" s="26" t="s">
        <v>51</v>
      </c>
      <c r="J41" s="31">
        <f>F41</f>
        <v>25</v>
      </c>
      <c r="K41" s="29">
        <f>J41</f>
        <v>25</v>
      </c>
      <c r="L41" s="29">
        <f>J41</f>
        <v>25</v>
      </c>
    </row>
    <row r="42" spans="1:13" ht="18" customHeight="1" x14ac:dyDescent="0.2">
      <c r="A42" s="24" t="s">
        <v>10</v>
      </c>
      <c r="B42" s="24" t="s">
        <v>437</v>
      </c>
      <c r="C42" s="24" t="s">
        <v>455</v>
      </c>
      <c r="D42" s="24" t="s">
        <v>432</v>
      </c>
      <c r="E42" s="24"/>
      <c r="F42" s="24"/>
      <c r="G42" s="24"/>
      <c r="H42" s="24" t="s">
        <v>20</v>
      </c>
      <c r="I42" s="26" t="s">
        <v>456</v>
      </c>
      <c r="J42" s="29">
        <f>(J37 + J40) * J41</f>
        <v>934168.83001347794</v>
      </c>
      <c r="K42" s="29">
        <f>(K37 + K40) * K41</f>
        <v>20024.122171770727</v>
      </c>
      <c r="L42" s="29">
        <f>(L37 + L40) * L41</f>
        <v>7049195.7872312469</v>
      </c>
    </row>
    <row r="43" spans="1:13" ht="18" customHeight="1" x14ac:dyDescent="0.2">
      <c r="A43" s="24" t="s">
        <v>10</v>
      </c>
      <c r="B43" s="24" t="s">
        <v>437</v>
      </c>
      <c r="C43" s="24" t="s">
        <v>457</v>
      </c>
      <c r="D43" s="24" t="s">
        <v>435</v>
      </c>
      <c r="E43" s="24"/>
      <c r="F43" s="24"/>
      <c r="G43" s="24"/>
      <c r="H43" s="24" t="s">
        <v>20</v>
      </c>
      <c r="I43" s="26" t="s">
        <v>424</v>
      </c>
      <c r="J43" s="29">
        <f>J42 / J50</f>
        <v>3.0932742715678079</v>
      </c>
      <c r="K43" s="29">
        <f>K42 / K50</f>
        <v>6.6305040303876572E-2</v>
      </c>
      <c r="L43" s="29">
        <f>L42 / L50</f>
        <v>23.341707904739227</v>
      </c>
    </row>
    <row r="44" spans="1:13" s="46" customFormat="1" ht="18" customHeight="1" x14ac:dyDescent="0.2">
      <c r="A44" s="73" t="s">
        <v>783</v>
      </c>
      <c r="B44" s="74"/>
      <c r="C44" s="75"/>
      <c r="D44" s="69" t="s">
        <v>458</v>
      </c>
      <c r="E44" s="73"/>
      <c r="F44" s="74"/>
      <c r="G44" s="74"/>
      <c r="H44" s="74"/>
      <c r="I44" s="75"/>
      <c r="J44" s="76">
        <f>J9 + J25 + J33 + J43</f>
        <v>117.36793450919252</v>
      </c>
      <c r="K44" s="76">
        <f>K9 + K25 + K33 + K43</f>
        <v>88.839438841569134</v>
      </c>
      <c r="L44" s="76">
        <f>L9 + L25 + L33 + L43</f>
        <v>116.11178197250982</v>
      </c>
      <c r="M44" s="228"/>
    </row>
    <row r="46" spans="1:13" ht="18" customHeight="1" x14ac:dyDescent="0.2">
      <c r="A46" s="47" t="s">
        <v>784</v>
      </c>
      <c r="B46" s="48"/>
      <c r="C46" s="48"/>
      <c r="D46" s="48"/>
    </row>
    <row r="47" spans="1:13" ht="18" customHeight="1" x14ac:dyDescent="0.2">
      <c r="A47" s="77" t="s">
        <v>459</v>
      </c>
      <c r="B47" s="78"/>
      <c r="C47" s="78"/>
      <c r="D47" s="78"/>
      <c r="E47" s="78"/>
      <c r="F47" s="78"/>
      <c r="G47" s="78"/>
      <c r="H47" s="78"/>
      <c r="I47" s="78"/>
      <c r="J47" s="79"/>
      <c r="K47" s="91"/>
      <c r="L47" s="91"/>
    </row>
    <row r="48" spans="1:13" ht="18" customHeight="1" x14ac:dyDescent="0.2">
      <c r="A48" s="24" t="s">
        <v>52</v>
      </c>
      <c r="B48" s="51" t="s">
        <v>460</v>
      </c>
      <c r="C48" s="51" t="s">
        <v>94</v>
      </c>
      <c r="D48" s="24" t="s">
        <v>305</v>
      </c>
      <c r="E48" s="24"/>
      <c r="F48" s="215">
        <v>2475409.8360655736</v>
      </c>
      <c r="G48" s="24"/>
      <c r="H48" s="24" t="s">
        <v>13</v>
      </c>
      <c r="I48" s="52" t="s">
        <v>303</v>
      </c>
      <c r="J48" s="29">
        <f>F48</f>
        <v>2475409.8360655736</v>
      </c>
      <c r="K48" s="29">
        <f>J48</f>
        <v>2475409.8360655736</v>
      </c>
      <c r="L48" s="29">
        <f>J48</f>
        <v>2475409.8360655736</v>
      </c>
    </row>
    <row r="49" spans="1:12" ht="18" customHeight="1" x14ac:dyDescent="0.2">
      <c r="A49" s="24" t="s">
        <v>52</v>
      </c>
      <c r="B49" s="51" t="s">
        <v>460</v>
      </c>
      <c r="C49" s="51" t="s">
        <v>95</v>
      </c>
      <c r="D49" s="24" t="s">
        <v>96</v>
      </c>
      <c r="E49" s="216">
        <v>5.2999999999999999E-2</v>
      </c>
      <c r="F49" s="216">
        <v>0.122</v>
      </c>
      <c r="G49" s="216">
        <v>0.215</v>
      </c>
      <c r="H49" s="24" t="s">
        <v>693</v>
      </c>
      <c r="I49" s="26" t="s">
        <v>97</v>
      </c>
      <c r="J49" s="37">
        <f>F49</f>
        <v>0.122</v>
      </c>
      <c r="K49" s="37">
        <f>J49</f>
        <v>0.122</v>
      </c>
      <c r="L49" s="37">
        <f>J49</f>
        <v>0.122</v>
      </c>
    </row>
    <row r="50" spans="1:12" ht="18" customHeight="1" x14ac:dyDescent="0.2">
      <c r="A50" s="24" t="s">
        <v>52</v>
      </c>
      <c r="B50" s="51" t="s">
        <v>460</v>
      </c>
      <c r="C50" s="51" t="s">
        <v>148</v>
      </c>
      <c r="D50" s="24" t="s">
        <v>304</v>
      </c>
      <c r="E50" s="24"/>
      <c r="F50" s="24"/>
      <c r="G50" s="24"/>
      <c r="H50" s="24" t="s">
        <v>20</v>
      </c>
      <c r="I50" s="26" t="s">
        <v>98</v>
      </c>
      <c r="J50" s="29">
        <f>J48 * J49</f>
        <v>302000</v>
      </c>
      <c r="K50" s="29">
        <f>K48 * K49</f>
        <v>302000</v>
      </c>
      <c r="L50" s="29">
        <f>L48 * L49</f>
        <v>302000</v>
      </c>
    </row>
    <row r="51" spans="1:12" ht="18" customHeight="1" x14ac:dyDescent="0.2">
      <c r="A51" s="24" t="s">
        <v>52</v>
      </c>
      <c r="B51" s="51" t="s">
        <v>460</v>
      </c>
      <c r="C51" s="51" t="s">
        <v>88</v>
      </c>
      <c r="D51" s="24" t="s">
        <v>180</v>
      </c>
      <c r="E51" s="211">
        <f>E371</f>
        <v>133.11660763961652</v>
      </c>
      <c r="F51" s="211">
        <f t="shared" ref="F51:G51" si="0">F371</f>
        <v>135.11535550207324</v>
      </c>
      <c r="G51" s="211">
        <f t="shared" si="0"/>
        <v>137.17504079936091</v>
      </c>
      <c r="H51" s="24" t="s">
        <v>693</v>
      </c>
      <c r="I51" s="26" t="s">
        <v>751</v>
      </c>
      <c r="J51" s="29">
        <f>F51</f>
        <v>135.11535550207324</v>
      </c>
      <c r="K51" s="29">
        <f>J51</f>
        <v>135.11535550207324</v>
      </c>
      <c r="L51" s="29">
        <f>J51</f>
        <v>135.11535550207324</v>
      </c>
    </row>
    <row r="52" spans="1:12" ht="18" customHeight="1" x14ac:dyDescent="0.2">
      <c r="A52" s="24" t="s">
        <v>52</v>
      </c>
      <c r="B52" s="51" t="s">
        <v>460</v>
      </c>
      <c r="C52" s="51" t="s">
        <v>148</v>
      </c>
      <c r="D52" s="24" t="s">
        <v>179</v>
      </c>
      <c r="E52" s="24"/>
      <c r="F52" s="24"/>
      <c r="G52" s="24"/>
      <c r="H52" s="24" t="s">
        <v>20</v>
      </c>
      <c r="I52" s="26" t="s">
        <v>147</v>
      </c>
      <c r="J52" s="29">
        <f>J51 * J50</f>
        <v>40804837.361626118</v>
      </c>
      <c r="K52" s="29">
        <f>K51 * K50</f>
        <v>40804837.361626118</v>
      </c>
      <c r="L52" s="29">
        <f>L51 * L50</f>
        <v>40804837.361626118</v>
      </c>
    </row>
    <row r="53" spans="1:12" ht="18" customHeight="1" x14ac:dyDescent="0.2">
      <c r="A53" s="24" t="s">
        <v>52</v>
      </c>
      <c r="B53" s="51" t="s">
        <v>460</v>
      </c>
      <c r="C53" s="51" t="s">
        <v>461</v>
      </c>
      <c r="D53" s="24" t="s">
        <v>462</v>
      </c>
      <c r="E53" s="212">
        <v>4.8</v>
      </c>
      <c r="F53" s="212">
        <v>8.6999999999999993</v>
      </c>
      <c r="G53" s="212">
        <v>10.5</v>
      </c>
      <c r="H53" s="33" t="s">
        <v>693</v>
      </c>
      <c r="I53" s="26" t="s">
        <v>97</v>
      </c>
      <c r="J53" s="30">
        <f>F53</f>
        <v>8.6999999999999993</v>
      </c>
      <c r="K53" s="30">
        <f>G53</f>
        <v>10.5</v>
      </c>
      <c r="L53" s="30">
        <f>E53</f>
        <v>4.8</v>
      </c>
    </row>
    <row r="54" spans="1:12" ht="18" customHeight="1" x14ac:dyDescent="0.2">
      <c r="A54" s="24" t="s">
        <v>52</v>
      </c>
      <c r="B54" s="51" t="s">
        <v>460</v>
      </c>
      <c r="C54" s="51" t="s">
        <v>461</v>
      </c>
      <c r="D54" s="24" t="s">
        <v>435</v>
      </c>
      <c r="E54" s="211">
        <f>E53 * '5. Unit Conversions'!$D$11</f>
        <v>249.35064935064938</v>
      </c>
      <c r="F54" s="211">
        <f>F53 * '5. Unit Conversions'!$D$11</f>
        <v>451.94805194805195</v>
      </c>
      <c r="G54" s="211">
        <f>G53 * '5. Unit Conversions'!$D$11</f>
        <v>545.4545454545455</v>
      </c>
      <c r="H54" s="33" t="s">
        <v>693</v>
      </c>
      <c r="I54" s="26" t="s">
        <v>118</v>
      </c>
      <c r="J54" s="29">
        <f>F54</f>
        <v>451.94805194805195</v>
      </c>
      <c r="K54" s="29">
        <f>G54</f>
        <v>545.4545454545455</v>
      </c>
      <c r="L54" s="29">
        <f>E54</f>
        <v>249.35064935064938</v>
      </c>
    </row>
    <row r="55" spans="1:12" ht="18" customHeight="1" x14ac:dyDescent="0.2">
      <c r="A55" s="24" t="s">
        <v>52</v>
      </c>
      <c r="B55" s="51" t="s">
        <v>460</v>
      </c>
      <c r="C55" s="51" t="s">
        <v>151</v>
      </c>
      <c r="D55" s="24" t="s">
        <v>463</v>
      </c>
      <c r="E55" s="25"/>
      <c r="F55" s="25"/>
      <c r="G55" s="25"/>
      <c r="H55" s="24" t="s">
        <v>20</v>
      </c>
      <c r="I55" s="26" t="s">
        <v>464</v>
      </c>
      <c r="J55" s="30">
        <f>(1 / J54) * 1000</f>
        <v>2.2126436781609198</v>
      </c>
      <c r="K55" s="30">
        <f>(1 / K54) * 1000</f>
        <v>1.8333333333333333</v>
      </c>
      <c r="L55" s="30">
        <f>(1 / L54) * 1000</f>
        <v>4.0104166666666661</v>
      </c>
    </row>
    <row r="56" spans="1:12" ht="18" customHeight="1" x14ac:dyDescent="0.2">
      <c r="A56" s="24" t="s">
        <v>52</v>
      </c>
      <c r="B56" s="51" t="s">
        <v>460</v>
      </c>
      <c r="C56" s="51" t="s">
        <v>465</v>
      </c>
      <c r="D56" s="24" t="s">
        <v>432</v>
      </c>
      <c r="E56" s="24"/>
      <c r="F56" s="24"/>
      <c r="G56" s="24"/>
      <c r="H56" s="24" t="s">
        <v>20</v>
      </c>
      <c r="I56" s="26" t="s">
        <v>466</v>
      </c>
      <c r="J56" s="29">
        <f>(J50 * J54) / (1 - J59)</f>
        <v>139273787.43705276</v>
      </c>
      <c r="K56" s="29">
        <f>(K50 * K54) / (1 - K59)</f>
        <v>166391184.57300279</v>
      </c>
      <c r="L56" s="29">
        <f>(L50 * L54) / (1 - L59)</f>
        <v>78441558.44155845</v>
      </c>
    </row>
    <row r="57" spans="1:12" ht="18" customHeight="1" x14ac:dyDescent="0.2">
      <c r="A57" s="24" t="s">
        <v>52</v>
      </c>
      <c r="B57" s="51" t="s">
        <v>460</v>
      </c>
      <c r="C57" s="51" t="s">
        <v>467</v>
      </c>
      <c r="D57" s="24" t="s">
        <v>462</v>
      </c>
      <c r="E57" s="217">
        <v>4.7712628985682359</v>
      </c>
      <c r="F57" s="217">
        <v>8.8000000000000007</v>
      </c>
      <c r="G57" s="217">
        <v>13.830011589062835</v>
      </c>
      <c r="H57" s="33" t="s">
        <v>693</v>
      </c>
      <c r="I57" s="26" t="s">
        <v>97</v>
      </c>
      <c r="J57" s="30">
        <f>F57</f>
        <v>8.8000000000000007</v>
      </c>
      <c r="K57" s="30">
        <f>E57</f>
        <v>4.7712628985682359</v>
      </c>
      <c r="L57" s="30">
        <f>G57</f>
        <v>13.830011589062835</v>
      </c>
    </row>
    <row r="58" spans="1:12" ht="18" customHeight="1" x14ac:dyDescent="0.2">
      <c r="A58" s="24" t="s">
        <v>52</v>
      </c>
      <c r="B58" s="51" t="s">
        <v>460</v>
      </c>
      <c r="C58" s="51" t="s">
        <v>467</v>
      </c>
      <c r="D58" s="24" t="s">
        <v>306</v>
      </c>
      <c r="E58" s="211">
        <f>E57 * '5. Unit Conversions'!$D$11</f>
        <v>247.85781291263567</v>
      </c>
      <c r="F58" s="211">
        <f>F57 * '5. Unit Conversions'!$D$11</f>
        <v>457.14285714285722</v>
      </c>
      <c r="G58" s="211">
        <f>G57 * '5. Unit Conversions'!$D$11</f>
        <v>718.44216047079669</v>
      </c>
      <c r="H58" s="33" t="s">
        <v>693</v>
      </c>
      <c r="I58" s="26" t="s">
        <v>118</v>
      </c>
      <c r="J58" s="29">
        <f>F58</f>
        <v>457.14285714285722</v>
      </c>
      <c r="K58" s="29">
        <f>E58</f>
        <v>247.85781291263567</v>
      </c>
      <c r="L58" s="29">
        <f>G58</f>
        <v>718.44216047079669</v>
      </c>
    </row>
    <row r="59" spans="1:12" ht="18" customHeight="1" x14ac:dyDescent="0.2">
      <c r="A59" s="24" t="s">
        <v>52</v>
      </c>
      <c r="B59" s="51" t="s">
        <v>460</v>
      </c>
      <c r="C59" s="51" t="s">
        <v>468</v>
      </c>
      <c r="D59" s="24" t="s">
        <v>75</v>
      </c>
      <c r="E59" s="216">
        <v>0.01</v>
      </c>
      <c r="F59" s="216">
        <v>0.02</v>
      </c>
      <c r="G59" s="216">
        <v>0.04</v>
      </c>
      <c r="H59" s="33" t="s">
        <v>693</v>
      </c>
      <c r="I59" s="26" t="s">
        <v>165</v>
      </c>
      <c r="J59" s="37">
        <f>F59</f>
        <v>0.02</v>
      </c>
      <c r="K59" s="37">
        <f>E59</f>
        <v>0.01</v>
      </c>
      <c r="L59" s="37">
        <f>G59</f>
        <v>0.04</v>
      </c>
    </row>
    <row r="60" spans="1:12" ht="18" customHeight="1" x14ac:dyDescent="0.2">
      <c r="A60" s="24" t="s">
        <v>52</v>
      </c>
      <c r="B60" s="51" t="s">
        <v>460</v>
      </c>
      <c r="C60" s="51" t="s">
        <v>469</v>
      </c>
      <c r="D60" s="24" t="s">
        <v>432</v>
      </c>
      <c r="E60" s="38"/>
      <c r="F60" s="36"/>
      <c r="G60" s="38"/>
      <c r="H60" s="24" t="s">
        <v>20</v>
      </c>
      <c r="I60" s="26" t="s">
        <v>470</v>
      </c>
      <c r="J60" s="53">
        <f>J56 * J59</f>
        <v>2785475.7487410554</v>
      </c>
      <c r="K60" s="53">
        <f>K56 * K59</f>
        <v>1663911.8457300279</v>
      </c>
      <c r="L60" s="53">
        <f>L56 * L59</f>
        <v>3137662.3376623383</v>
      </c>
    </row>
    <row r="61" spans="1:12" ht="18" customHeight="1" x14ac:dyDescent="0.2">
      <c r="A61" s="24" t="s">
        <v>52</v>
      </c>
      <c r="B61" s="51" t="s">
        <v>460</v>
      </c>
      <c r="C61" s="51" t="s">
        <v>468</v>
      </c>
      <c r="D61" s="24" t="s">
        <v>435</v>
      </c>
      <c r="E61" s="38"/>
      <c r="F61" s="36"/>
      <c r="G61" s="38"/>
      <c r="H61" s="24" t="s">
        <v>20</v>
      </c>
      <c r="I61" s="26" t="s">
        <v>471</v>
      </c>
      <c r="J61" s="54">
        <f>J60 / J50</f>
        <v>9.2234296315928983</v>
      </c>
      <c r="K61" s="54">
        <f>K60 / K50</f>
        <v>5.5096418732782384</v>
      </c>
      <c r="L61" s="54">
        <f>L60 / L50</f>
        <v>10.389610389610391</v>
      </c>
    </row>
    <row r="62" spans="1:12" ht="18" customHeight="1" x14ac:dyDescent="0.2">
      <c r="A62" s="24" t="s">
        <v>52</v>
      </c>
      <c r="B62" s="51" t="s">
        <v>460</v>
      </c>
      <c r="C62" s="51" t="s">
        <v>472</v>
      </c>
      <c r="D62" s="24" t="s">
        <v>432</v>
      </c>
      <c r="E62" s="24"/>
      <c r="F62" s="24"/>
      <c r="G62" s="24"/>
      <c r="H62" s="24" t="s">
        <v>20</v>
      </c>
      <c r="I62" s="26" t="s">
        <v>473</v>
      </c>
      <c r="J62" s="29">
        <f>J58 * J50</f>
        <v>138057142.8571429</v>
      </c>
      <c r="K62" s="29">
        <f>K58 * K50</f>
        <v>74853059.499615967</v>
      </c>
      <c r="L62" s="29">
        <f>L58 * L50</f>
        <v>216969532.46218061</v>
      </c>
    </row>
    <row r="63" spans="1:12" ht="18" customHeight="1" x14ac:dyDescent="0.2">
      <c r="A63" s="24" t="s">
        <v>52</v>
      </c>
      <c r="B63" s="51" t="s">
        <v>460</v>
      </c>
      <c r="C63" s="51" t="s">
        <v>831</v>
      </c>
      <c r="D63" s="24" t="s">
        <v>474</v>
      </c>
      <c r="E63" s="24"/>
      <c r="F63" s="24"/>
      <c r="G63" s="24"/>
      <c r="H63" s="24" t="s">
        <v>20</v>
      </c>
      <c r="I63" s="26" t="s">
        <v>195</v>
      </c>
      <c r="J63" s="30">
        <f>(J62 / 1000) / J80</f>
        <v>15.129549902152647</v>
      </c>
      <c r="K63" s="30">
        <f>(K62 / 1000) / K80</f>
        <v>8.2030750136565445</v>
      </c>
      <c r="L63" s="30">
        <f>(L62 / 1000) / L80</f>
        <v>23.777483009554039</v>
      </c>
    </row>
    <row r="64" spans="1:12" ht="18" customHeight="1" x14ac:dyDescent="0.2">
      <c r="A64" s="24" t="s">
        <v>52</v>
      </c>
      <c r="B64" s="51" t="s">
        <v>460</v>
      </c>
      <c r="C64" s="51" t="s">
        <v>475</v>
      </c>
      <c r="D64" s="24" t="s">
        <v>432</v>
      </c>
      <c r="E64" s="24"/>
      <c r="F64" s="24"/>
      <c r="G64" s="24"/>
      <c r="H64" s="24" t="s">
        <v>20</v>
      </c>
      <c r="I64" s="26" t="s">
        <v>476</v>
      </c>
      <c r="J64" s="29">
        <f>J56 + J62</f>
        <v>277330930.29419565</v>
      </c>
      <c r="K64" s="29">
        <f>K56 + K62</f>
        <v>241244244.07261875</v>
      </c>
      <c r="L64" s="29">
        <f>L56 + L62</f>
        <v>295411090.90373909</v>
      </c>
    </row>
    <row r="65" spans="1:12" ht="18" customHeight="1" x14ac:dyDescent="0.2">
      <c r="A65" s="24" t="s">
        <v>52</v>
      </c>
      <c r="B65" s="51" t="s">
        <v>460</v>
      </c>
      <c r="C65" s="51" t="s">
        <v>832</v>
      </c>
      <c r="D65" s="24" t="s">
        <v>474</v>
      </c>
      <c r="E65" s="24"/>
      <c r="F65" s="24"/>
      <c r="G65" s="24"/>
      <c r="H65" s="24" t="s">
        <v>20</v>
      </c>
      <c r="I65" s="26" t="s">
        <v>195</v>
      </c>
      <c r="J65" s="30">
        <f>(J64 / 1000) / J80</f>
        <v>30.392430717172125</v>
      </c>
      <c r="K65" s="30">
        <f>(K64 / 1000) / K80</f>
        <v>26.437725377821234</v>
      </c>
      <c r="L65" s="30">
        <f>(L64 / 1000) / L80</f>
        <v>32.373818181231684</v>
      </c>
    </row>
    <row r="66" spans="1:12" ht="18" customHeight="1" x14ac:dyDescent="0.2">
      <c r="A66" s="24" t="s">
        <v>52</v>
      </c>
      <c r="B66" s="51" t="s">
        <v>460</v>
      </c>
      <c r="C66" s="51" t="s">
        <v>477</v>
      </c>
      <c r="D66" s="24" t="s">
        <v>75</v>
      </c>
      <c r="E66" s="24"/>
      <c r="F66" s="24"/>
      <c r="G66" s="24"/>
      <c r="H66" s="24" t="s">
        <v>20</v>
      </c>
      <c r="I66" s="26" t="s">
        <v>478</v>
      </c>
      <c r="J66" s="37">
        <f>(J64 - J62 - J60) / J56</f>
        <v>0.98</v>
      </c>
      <c r="K66" s="37">
        <f>(K64 - K62 - K60) / K56</f>
        <v>0.99</v>
      </c>
      <c r="L66" s="37">
        <f>(L64 - L62 - L60) / L56</f>
        <v>0.96000000000000041</v>
      </c>
    </row>
    <row r="67" spans="1:12" ht="18" customHeight="1" x14ac:dyDescent="0.2">
      <c r="A67" s="24" t="s">
        <v>52</v>
      </c>
      <c r="B67" s="51" t="s">
        <v>460</v>
      </c>
      <c r="C67" s="51" t="s">
        <v>479</v>
      </c>
      <c r="D67" s="24" t="s">
        <v>432</v>
      </c>
      <c r="E67" s="24"/>
      <c r="F67" s="24"/>
      <c r="G67" s="24"/>
      <c r="H67" s="24" t="s">
        <v>20</v>
      </c>
      <c r="I67" s="26" t="s">
        <v>480</v>
      </c>
      <c r="J67" s="53">
        <f>J56 * J66</f>
        <v>136488311.6883117</v>
      </c>
      <c r="K67" s="53">
        <f>K56 * K66</f>
        <v>164727272.72727275</v>
      </c>
      <c r="L67" s="53">
        <f>L56 * L66</f>
        <v>75303896.103896141</v>
      </c>
    </row>
    <row r="68" spans="1:12" ht="18" customHeight="1" x14ac:dyDescent="0.2">
      <c r="A68" s="24" t="s">
        <v>52</v>
      </c>
      <c r="B68" s="51" t="s">
        <v>460</v>
      </c>
      <c r="C68" s="51" t="s">
        <v>481</v>
      </c>
      <c r="D68" s="24" t="s">
        <v>435</v>
      </c>
      <c r="E68" s="24"/>
      <c r="F68" s="24"/>
      <c r="G68" s="24"/>
      <c r="H68" s="24" t="s">
        <v>20</v>
      </c>
      <c r="I68" s="26" t="s">
        <v>482</v>
      </c>
      <c r="J68" s="53">
        <f>J67 / J50</f>
        <v>451.94805194805195</v>
      </c>
      <c r="K68" s="53">
        <f>K67 / K50</f>
        <v>545.4545454545455</v>
      </c>
      <c r="L68" s="53">
        <f>L67 / L50</f>
        <v>249.35064935064946</v>
      </c>
    </row>
    <row r="69" spans="1:12" ht="18" customHeight="1" x14ac:dyDescent="0.2">
      <c r="A69" s="24" t="s">
        <v>52</v>
      </c>
      <c r="B69" s="51" t="s">
        <v>460</v>
      </c>
      <c r="C69" s="51" t="s">
        <v>483</v>
      </c>
      <c r="D69" s="24" t="s">
        <v>484</v>
      </c>
      <c r="E69" s="216">
        <v>0</v>
      </c>
      <c r="F69" s="216">
        <v>5.0000000000000001E-3</v>
      </c>
      <c r="G69" s="216">
        <v>0.01</v>
      </c>
      <c r="H69" s="33" t="s">
        <v>693</v>
      </c>
      <c r="I69" s="26" t="s">
        <v>753</v>
      </c>
      <c r="J69" s="37">
        <f>F69</f>
        <v>5.0000000000000001E-3</v>
      </c>
      <c r="K69" s="37">
        <f>E69</f>
        <v>0</v>
      </c>
      <c r="L69" s="37">
        <f>G69</f>
        <v>0.01</v>
      </c>
    </row>
    <row r="70" spans="1:12" ht="18" customHeight="1" x14ac:dyDescent="0.2">
      <c r="A70" s="24" t="s">
        <v>52</v>
      </c>
      <c r="B70" s="51" t="s">
        <v>460</v>
      </c>
      <c r="C70" s="51" t="s">
        <v>485</v>
      </c>
      <c r="D70" s="24" t="s">
        <v>432</v>
      </c>
      <c r="E70" s="55"/>
      <c r="F70" s="55"/>
      <c r="G70" s="55"/>
      <c r="H70" s="24" t="s">
        <v>20</v>
      </c>
      <c r="I70" s="26" t="s">
        <v>486</v>
      </c>
      <c r="J70" s="29">
        <f>J67 * J69</f>
        <v>682441.5584415585</v>
      </c>
      <c r="K70" s="29">
        <f>K67 * K69</f>
        <v>0</v>
      </c>
      <c r="L70" s="29">
        <f>L67 * L69</f>
        <v>753038.96103896142</v>
      </c>
    </row>
    <row r="71" spans="1:12" ht="18" customHeight="1" x14ac:dyDescent="0.2">
      <c r="A71" s="24" t="s">
        <v>52</v>
      </c>
      <c r="B71" s="51" t="s">
        <v>460</v>
      </c>
      <c r="C71" s="51" t="s">
        <v>487</v>
      </c>
      <c r="D71" s="24" t="s">
        <v>435</v>
      </c>
      <c r="E71" s="55"/>
      <c r="F71" s="55"/>
      <c r="G71" s="55"/>
      <c r="H71" s="24" t="s">
        <v>20</v>
      </c>
      <c r="I71" s="26" t="s">
        <v>488</v>
      </c>
      <c r="J71" s="30">
        <f>J70 / J50</f>
        <v>2.2597402597402598</v>
      </c>
      <c r="K71" s="30">
        <f>K70 / K50</f>
        <v>0</v>
      </c>
      <c r="L71" s="30">
        <f>L70 / L50</f>
        <v>2.4935064935064948</v>
      </c>
    </row>
    <row r="72" spans="1:12" ht="18" customHeight="1" x14ac:dyDescent="0.2">
      <c r="A72" s="24" t="s">
        <v>52</v>
      </c>
      <c r="B72" s="51" t="s">
        <v>460</v>
      </c>
      <c r="C72" s="51" t="s">
        <v>489</v>
      </c>
      <c r="D72" s="24" t="s">
        <v>75</v>
      </c>
      <c r="E72" s="55"/>
      <c r="F72" s="55"/>
      <c r="G72" s="55"/>
      <c r="H72" s="24" t="s">
        <v>20</v>
      </c>
      <c r="I72" s="26" t="s">
        <v>490</v>
      </c>
      <c r="J72" s="37">
        <f>(J64 - J62) / J64</f>
        <v>0.50219348880166237</v>
      </c>
      <c r="K72" s="37">
        <f>(K64 - K62) / K64</f>
        <v>0.68972084790100163</v>
      </c>
      <c r="L72" s="37">
        <f>(L64 - L62) / L64</f>
        <v>0.2655335593581995</v>
      </c>
    </row>
    <row r="73" spans="1:12" ht="18" customHeight="1" x14ac:dyDescent="0.2">
      <c r="A73" s="24" t="s">
        <v>52</v>
      </c>
      <c r="B73" s="51" t="s">
        <v>460</v>
      </c>
      <c r="C73" s="51" t="s">
        <v>55</v>
      </c>
      <c r="D73" s="24" t="s">
        <v>149</v>
      </c>
      <c r="E73" s="24"/>
      <c r="F73" s="24"/>
      <c r="G73" s="24"/>
      <c r="H73" s="24" t="s">
        <v>20</v>
      </c>
      <c r="I73" s="26" t="s">
        <v>754</v>
      </c>
      <c r="J73" s="56">
        <f>'7. Brine &amp; Gas Correlations'!$J$2 * J55^'7. Brine &amp; Gas Correlations'!$J$3</f>
        <v>0.28168568974680308</v>
      </c>
      <c r="K73" s="56">
        <f>'7. Brine &amp; Gas Correlations'!$J$2 * K55^'7. Brine &amp; Gas Correlations'!$J$3</f>
        <v>0.33964598151567393</v>
      </c>
      <c r="L73" s="56">
        <f>'7. Brine &amp; Gas Correlations'!$J$2 * L55^'7. Brine &amp; Gas Correlations'!$J$3</f>
        <v>0.15587560756498553</v>
      </c>
    </row>
    <row r="74" spans="1:12" ht="18" customHeight="1" x14ac:dyDescent="0.2">
      <c r="A74" s="24" t="s">
        <v>52</v>
      </c>
      <c r="B74" s="51" t="s">
        <v>460</v>
      </c>
      <c r="C74" s="51" t="s">
        <v>56</v>
      </c>
      <c r="D74" s="24" t="s">
        <v>150</v>
      </c>
      <c r="E74" s="24"/>
      <c r="F74" s="24"/>
      <c r="G74" s="24"/>
      <c r="H74" s="24" t="s">
        <v>20</v>
      </c>
      <c r="I74" s="26" t="s">
        <v>754</v>
      </c>
      <c r="J74" s="30">
        <f>'7. Brine &amp; Gas Correlations'!$H$2 * J55^'7. Brine &amp; Gas Correlations'!$H$3</f>
        <v>25.596982588624439</v>
      </c>
      <c r="K74" s="30">
        <f>'7. Brine &amp; Gas Correlations'!$H$2 * K55^'7. Brine &amp; Gas Correlations'!$H$3</f>
        <v>30.898720047697807</v>
      </c>
      <c r="L74" s="30">
        <f>'7. Brine &amp; Gas Correlations'!$H$2 * L55^'7. Brine &amp; Gas Correlations'!$H$3</f>
        <v>14.114076914080613</v>
      </c>
    </row>
    <row r="75" spans="1:12" ht="18" customHeight="1" x14ac:dyDescent="0.2">
      <c r="A75" s="24" t="s">
        <v>52</v>
      </c>
      <c r="B75" s="51" t="s">
        <v>460</v>
      </c>
      <c r="C75" s="51" t="s">
        <v>57</v>
      </c>
      <c r="D75" s="24" t="s">
        <v>150</v>
      </c>
      <c r="E75" s="24"/>
      <c r="F75" s="24"/>
      <c r="G75" s="24"/>
      <c r="H75" s="24" t="s">
        <v>20</v>
      </c>
      <c r="I75" s="26" t="s">
        <v>754</v>
      </c>
      <c r="J75" s="30">
        <f>'7. Brine &amp; Gas Correlations'!$I$2 * J55^'7. Brine &amp; Gas Correlations'!$I$3</f>
        <v>23.697562397119597</v>
      </c>
      <c r="K75" s="30">
        <f>'7. Brine &amp; Gas Correlations'!$I$2 * K55^'7. Brine &amp; Gas Correlations'!$I$3</f>
        <v>28.568254205793458</v>
      </c>
      <c r="L75" s="30">
        <f>'7. Brine &amp; Gas Correlations'!$I$2 * L55^'7. Brine &amp; Gas Correlations'!$I$3</f>
        <v>13.121253568207861</v>
      </c>
    </row>
    <row r="76" spans="1:12" ht="18" customHeight="1" x14ac:dyDescent="0.2">
      <c r="A76" s="24" t="s">
        <v>52</v>
      </c>
      <c r="B76" s="51" t="s">
        <v>460</v>
      </c>
      <c r="C76" s="51" t="s">
        <v>152</v>
      </c>
      <c r="D76" s="24" t="s">
        <v>155</v>
      </c>
      <c r="E76" s="24"/>
      <c r="F76" s="24"/>
      <c r="G76" s="24"/>
      <c r="H76" s="24" t="s">
        <v>20</v>
      </c>
      <c r="I76" s="26" t="s">
        <v>157</v>
      </c>
      <c r="J76" s="29">
        <f>J73 * J52</f>
        <v>11494138.757215774</v>
      </c>
      <c r="K76" s="29">
        <f>K73 * K52</f>
        <v>13859199.036276946</v>
      </c>
      <c r="L76" s="29">
        <f>L73 * L52</f>
        <v>6360478.8153338926</v>
      </c>
    </row>
    <row r="77" spans="1:12" ht="18" customHeight="1" x14ac:dyDescent="0.2">
      <c r="A77" s="24" t="s">
        <v>52</v>
      </c>
      <c r="B77" s="51" t="s">
        <v>460</v>
      </c>
      <c r="C77" s="51" t="s">
        <v>153</v>
      </c>
      <c r="D77" s="24" t="s">
        <v>156</v>
      </c>
      <c r="E77" s="24"/>
      <c r="F77" s="24"/>
      <c r="G77" s="24"/>
      <c r="H77" s="24" t="s">
        <v>20</v>
      </c>
      <c r="I77" s="26" t="s">
        <v>158</v>
      </c>
      <c r="J77" s="29">
        <f>J74 * J52</f>
        <v>1044480711.4771957</v>
      </c>
      <c r="K77" s="29">
        <f>K74 * K52</f>
        <v>1260817246.2287254</v>
      </c>
      <c r="L77" s="29">
        <f>L74 * L52</f>
        <v>575922612.98854125</v>
      </c>
    </row>
    <row r="78" spans="1:12" ht="18" customHeight="1" x14ac:dyDescent="0.2">
      <c r="A78" s="24" t="s">
        <v>52</v>
      </c>
      <c r="B78" s="51" t="s">
        <v>460</v>
      </c>
      <c r="C78" s="51" t="s">
        <v>154</v>
      </c>
      <c r="D78" s="24" t="s">
        <v>156</v>
      </c>
      <c r="E78" s="24"/>
      <c r="F78" s="24"/>
      <c r="G78" s="24"/>
      <c r="H78" s="24" t="s">
        <v>20</v>
      </c>
      <c r="I78" s="26" t="s">
        <v>249</v>
      </c>
      <c r="J78" s="29">
        <f>J75 * J52</f>
        <v>966975179.48145199</v>
      </c>
      <c r="K78" s="29">
        <f>K75 * K52</f>
        <v>1165722966.5729935</v>
      </c>
      <c r="L78" s="29">
        <f>L75 * L52</f>
        <v>535410617.8313781</v>
      </c>
    </row>
    <row r="79" spans="1:12" ht="18" customHeight="1" x14ac:dyDescent="0.2">
      <c r="A79" s="24" t="s">
        <v>52</v>
      </c>
      <c r="B79" s="51" t="s">
        <v>460</v>
      </c>
      <c r="C79" s="24" t="s">
        <v>454</v>
      </c>
      <c r="D79" s="24" t="s">
        <v>50</v>
      </c>
      <c r="E79" s="211">
        <v>20</v>
      </c>
      <c r="F79" s="212">
        <v>25</v>
      </c>
      <c r="G79" s="214">
        <v>30</v>
      </c>
      <c r="H79" s="33" t="s">
        <v>693</v>
      </c>
      <c r="I79" s="26" t="s">
        <v>51</v>
      </c>
      <c r="J79" s="31">
        <f>F79</f>
        <v>25</v>
      </c>
      <c r="K79" s="31">
        <f>J79</f>
        <v>25</v>
      </c>
      <c r="L79" s="31">
        <f>J79</f>
        <v>25</v>
      </c>
    </row>
    <row r="80" spans="1:12" ht="18" customHeight="1" x14ac:dyDescent="0.2">
      <c r="A80" s="24" t="s">
        <v>52</v>
      </c>
      <c r="B80" s="51" t="s">
        <v>460</v>
      </c>
      <c r="C80" s="24" t="s">
        <v>454</v>
      </c>
      <c r="D80" s="24" t="s">
        <v>159</v>
      </c>
      <c r="E80" s="32">
        <f>E79 * 365</f>
        <v>7300</v>
      </c>
      <c r="F80" s="32">
        <f t="shared" ref="F80:G80" si="1">F79 * 365</f>
        <v>9125</v>
      </c>
      <c r="G80" s="32">
        <f t="shared" si="1"/>
        <v>10950</v>
      </c>
      <c r="H80" s="24" t="s">
        <v>20</v>
      </c>
      <c r="I80" s="26" t="s">
        <v>161</v>
      </c>
      <c r="J80" s="29">
        <f t="shared" ref="J80:J82" si="2">F80</f>
        <v>9125</v>
      </c>
      <c r="K80" s="29">
        <f>J80</f>
        <v>9125</v>
      </c>
      <c r="L80" s="29">
        <f>J80</f>
        <v>9125</v>
      </c>
    </row>
    <row r="81" spans="1:13" ht="18" customHeight="1" x14ac:dyDescent="0.2">
      <c r="A81" s="24" t="s">
        <v>52</v>
      </c>
      <c r="B81" s="51" t="s">
        <v>460</v>
      </c>
      <c r="C81" s="24" t="s">
        <v>454</v>
      </c>
      <c r="D81" s="24" t="s">
        <v>65</v>
      </c>
      <c r="E81" s="32">
        <f>E80 * 24</f>
        <v>175200</v>
      </c>
      <c r="F81" s="32">
        <f t="shared" ref="F81:G81" si="3">F80 * 24</f>
        <v>219000</v>
      </c>
      <c r="G81" s="32">
        <f t="shared" si="3"/>
        <v>262800</v>
      </c>
      <c r="H81" s="33" t="s">
        <v>20</v>
      </c>
      <c r="I81" s="26" t="s">
        <v>162</v>
      </c>
      <c r="J81" s="29">
        <f t="shared" si="2"/>
        <v>219000</v>
      </c>
      <c r="K81" s="29">
        <f>J81</f>
        <v>219000</v>
      </c>
      <c r="L81" s="29">
        <f>J81</f>
        <v>219000</v>
      </c>
    </row>
    <row r="82" spans="1:13" ht="18" customHeight="1" x14ac:dyDescent="0.2">
      <c r="A82" s="24" t="s">
        <v>52</v>
      </c>
      <c r="B82" s="51" t="s">
        <v>460</v>
      </c>
      <c r="C82" s="24" t="s">
        <v>454</v>
      </c>
      <c r="D82" s="24" t="s">
        <v>160</v>
      </c>
      <c r="E82" s="32">
        <f>E81 * 60</f>
        <v>10512000</v>
      </c>
      <c r="F82" s="32">
        <f t="shared" ref="F82:G82" si="4">F81 * 60</f>
        <v>13140000</v>
      </c>
      <c r="G82" s="32">
        <f t="shared" si="4"/>
        <v>15768000</v>
      </c>
      <c r="H82" s="33" t="s">
        <v>20</v>
      </c>
      <c r="I82" s="26" t="s">
        <v>163</v>
      </c>
      <c r="J82" s="29">
        <f t="shared" si="2"/>
        <v>13140000</v>
      </c>
      <c r="K82" s="29">
        <f>J82</f>
        <v>13140000</v>
      </c>
      <c r="L82" s="29">
        <f>J82</f>
        <v>13140000</v>
      </c>
    </row>
    <row r="83" spans="1:13" ht="18" customHeight="1" x14ac:dyDescent="0.2">
      <c r="A83" s="77" t="s">
        <v>166</v>
      </c>
      <c r="B83" s="78"/>
      <c r="C83" s="78"/>
      <c r="D83" s="78"/>
      <c r="E83" s="78"/>
      <c r="F83" s="78"/>
      <c r="G83" s="78"/>
      <c r="H83" s="78"/>
      <c r="I83" s="78"/>
      <c r="J83" s="79"/>
      <c r="K83" s="91"/>
      <c r="L83" s="91"/>
    </row>
    <row r="84" spans="1:13" ht="18" customHeight="1" x14ac:dyDescent="0.2">
      <c r="A84" s="24" t="s">
        <v>52</v>
      </c>
      <c r="B84" s="51" t="s">
        <v>168</v>
      </c>
      <c r="C84" s="51" t="s">
        <v>239</v>
      </c>
      <c r="D84" s="24" t="s">
        <v>240</v>
      </c>
      <c r="E84" s="24"/>
      <c r="F84" s="211">
        <v>20</v>
      </c>
      <c r="G84" s="24"/>
      <c r="H84" s="24" t="s">
        <v>693</v>
      </c>
      <c r="I84" s="26" t="s">
        <v>183</v>
      </c>
      <c r="J84" s="28">
        <f>F84</f>
        <v>20</v>
      </c>
      <c r="K84" s="28">
        <f>J84</f>
        <v>20</v>
      </c>
      <c r="L84" s="28">
        <f>J84</f>
        <v>20</v>
      </c>
    </row>
    <row r="85" spans="1:13" ht="18" customHeight="1" x14ac:dyDescent="0.2">
      <c r="A85" s="24" t="s">
        <v>52</v>
      </c>
      <c r="B85" s="51" t="s">
        <v>168</v>
      </c>
      <c r="C85" s="51" t="s">
        <v>239</v>
      </c>
      <c r="D85" s="24" t="s">
        <v>491</v>
      </c>
      <c r="E85" s="24"/>
      <c r="F85" s="32"/>
      <c r="G85" s="24"/>
      <c r="H85" s="24" t="s">
        <v>20</v>
      </c>
      <c r="I85" s="26" t="s">
        <v>492</v>
      </c>
      <c r="J85" s="29">
        <f>J84 * '5. Unit Conversions'!D17</f>
        <v>80937.2</v>
      </c>
      <c r="K85" s="29">
        <f>K84 * '5. Unit Conversions'!D17</f>
        <v>80937.2</v>
      </c>
      <c r="L85" s="29">
        <f>L84 * '5. Unit Conversions'!D17</f>
        <v>80937.2</v>
      </c>
    </row>
    <row r="86" spans="1:13" ht="18" customHeight="1" x14ac:dyDescent="0.2">
      <c r="A86" s="24" t="s">
        <v>52</v>
      </c>
      <c r="B86" s="51" t="s">
        <v>168</v>
      </c>
      <c r="C86" s="51" t="s">
        <v>242</v>
      </c>
      <c r="D86" s="24" t="s">
        <v>240</v>
      </c>
      <c r="E86" s="24"/>
      <c r="F86" s="217">
        <v>2.5</v>
      </c>
      <c r="G86" s="24"/>
      <c r="H86" s="33" t="s">
        <v>693</v>
      </c>
      <c r="I86" s="26" t="s">
        <v>183</v>
      </c>
      <c r="J86" s="27">
        <f>F86</f>
        <v>2.5</v>
      </c>
      <c r="K86" s="27">
        <f>J86</f>
        <v>2.5</v>
      </c>
      <c r="L86" s="27">
        <f>J86</f>
        <v>2.5</v>
      </c>
    </row>
    <row r="87" spans="1:13" ht="18" customHeight="1" x14ac:dyDescent="0.2">
      <c r="A87" s="24" t="s">
        <v>52</v>
      </c>
      <c r="B87" s="51" t="s">
        <v>168</v>
      </c>
      <c r="C87" s="51" t="s">
        <v>242</v>
      </c>
      <c r="D87" s="24" t="s">
        <v>491</v>
      </c>
      <c r="E87" s="24"/>
      <c r="F87" s="32"/>
      <c r="G87" s="24"/>
      <c r="H87" s="24" t="s">
        <v>20</v>
      </c>
      <c r="I87" s="26" t="s">
        <v>492</v>
      </c>
      <c r="J87" s="29">
        <f>J86 * '5. Unit Conversions'!D17</f>
        <v>10117.15</v>
      </c>
      <c r="K87" s="29">
        <f>K86 * '5. Unit Conversions'!D17</f>
        <v>10117.15</v>
      </c>
      <c r="L87" s="29">
        <f>L86 * '5. Unit Conversions'!D17</f>
        <v>10117.15</v>
      </c>
    </row>
    <row r="88" spans="1:13" ht="18" customHeight="1" x14ac:dyDescent="0.2">
      <c r="A88" s="24" t="s">
        <v>52</v>
      </c>
      <c r="B88" s="51" t="s">
        <v>168</v>
      </c>
      <c r="C88" s="51" t="s">
        <v>243</v>
      </c>
      <c r="D88" s="24" t="s">
        <v>244</v>
      </c>
      <c r="E88" s="24"/>
      <c r="F88" s="211">
        <v>20</v>
      </c>
      <c r="G88" s="24"/>
      <c r="H88" s="33" t="s">
        <v>693</v>
      </c>
      <c r="I88" s="26" t="s">
        <v>183</v>
      </c>
      <c r="J88" s="28">
        <f>F88</f>
        <v>20</v>
      </c>
      <c r="K88" s="28">
        <f>J88</f>
        <v>20</v>
      </c>
      <c r="L88" s="28">
        <f>J88</f>
        <v>20</v>
      </c>
    </row>
    <row r="89" spans="1:13" ht="18" customHeight="1" x14ac:dyDescent="0.2">
      <c r="A89" s="24" t="s">
        <v>52</v>
      </c>
      <c r="B89" s="51" t="s">
        <v>168</v>
      </c>
      <c r="C89" s="51" t="s">
        <v>245</v>
      </c>
      <c r="D89" s="24" t="s">
        <v>491</v>
      </c>
      <c r="E89" s="24"/>
      <c r="F89" s="32"/>
      <c r="G89" s="24"/>
      <c r="H89" s="24" t="s">
        <v>20</v>
      </c>
      <c r="I89" s="26" t="s">
        <v>246</v>
      </c>
      <c r="J89" s="29">
        <f>J87 * J88</f>
        <v>202343</v>
      </c>
      <c r="K89" s="29">
        <f>K87 * K88</f>
        <v>202343</v>
      </c>
      <c r="L89" s="29">
        <f>L87 * L88</f>
        <v>202343</v>
      </c>
    </row>
    <row r="90" spans="1:13" ht="18" customHeight="1" x14ac:dyDescent="0.2">
      <c r="A90" s="24" t="s">
        <v>52</v>
      </c>
      <c r="B90" s="51" t="s">
        <v>168</v>
      </c>
      <c r="C90" s="51" t="s">
        <v>247</v>
      </c>
      <c r="D90" s="24" t="s">
        <v>491</v>
      </c>
      <c r="E90" s="24"/>
      <c r="F90" s="24"/>
      <c r="G90" s="24"/>
      <c r="H90" s="24" t="s">
        <v>20</v>
      </c>
      <c r="I90" s="26" t="s">
        <v>248</v>
      </c>
      <c r="J90" s="29">
        <f>J85 + J89</f>
        <v>283280.2</v>
      </c>
      <c r="K90" s="29">
        <f>K85 + K89</f>
        <v>283280.2</v>
      </c>
      <c r="L90" s="29">
        <f>L85 + L89</f>
        <v>283280.2</v>
      </c>
    </row>
    <row r="91" spans="1:13" ht="18" customHeight="1" x14ac:dyDescent="0.2">
      <c r="A91" s="24" t="s">
        <v>52</v>
      </c>
      <c r="B91" s="51" t="s">
        <v>168</v>
      </c>
      <c r="C91" s="51" t="s">
        <v>167</v>
      </c>
      <c r="D91" s="24" t="s">
        <v>745</v>
      </c>
      <c r="E91" s="24"/>
      <c r="F91" s="217">
        <v>7.4625811917537419</v>
      </c>
      <c r="G91" s="24"/>
      <c r="H91" s="33" t="s">
        <v>693</v>
      </c>
      <c r="I91" s="26" t="s">
        <v>170</v>
      </c>
      <c r="J91" s="27">
        <f>F91</f>
        <v>7.4625811917537419</v>
      </c>
      <c r="K91" s="27">
        <f>J91</f>
        <v>7.4625811917537419</v>
      </c>
      <c r="L91" s="27">
        <f>J91</f>
        <v>7.4625811917537419</v>
      </c>
    </row>
    <row r="92" spans="1:13" ht="18" customHeight="1" x14ac:dyDescent="0.2">
      <c r="A92" s="24" t="s">
        <v>52</v>
      </c>
      <c r="B92" s="51" t="s">
        <v>168</v>
      </c>
      <c r="C92" s="24" t="s">
        <v>493</v>
      </c>
      <c r="D92" s="24" t="s">
        <v>421</v>
      </c>
      <c r="E92" s="24"/>
      <c r="F92" s="24"/>
      <c r="G92" s="24"/>
      <c r="H92" s="24" t="s">
        <v>20</v>
      </c>
      <c r="I92" s="26" t="s">
        <v>171</v>
      </c>
      <c r="J92" s="29">
        <f>J91 * J90</f>
        <v>2114001.4925162382</v>
      </c>
      <c r="K92" s="29">
        <f>K91 * K90</f>
        <v>2114001.4925162382</v>
      </c>
      <c r="L92" s="29">
        <f>L91 * L90</f>
        <v>2114001.4925162382</v>
      </c>
    </row>
    <row r="93" spans="1:13" ht="18" customHeight="1" x14ac:dyDescent="0.2">
      <c r="A93" s="24" t="s">
        <v>52</v>
      </c>
      <c r="B93" s="51" t="s">
        <v>168</v>
      </c>
      <c r="C93" s="24" t="s">
        <v>494</v>
      </c>
      <c r="D93" s="24" t="s">
        <v>423</v>
      </c>
      <c r="E93" s="24"/>
      <c r="F93" s="24"/>
      <c r="G93" s="24"/>
      <c r="H93" s="24" t="s">
        <v>20</v>
      </c>
      <c r="I93" s="26" t="s">
        <v>424</v>
      </c>
      <c r="J93" s="27">
        <f>J92 / J50</f>
        <v>7.0000049421067487</v>
      </c>
      <c r="K93" s="27">
        <f>K92 / K50</f>
        <v>7.0000049421067487</v>
      </c>
      <c r="L93" s="27">
        <f>L92 / L50</f>
        <v>7.0000049421067487</v>
      </c>
      <c r="M93" s="18" t="s">
        <v>338</v>
      </c>
    </row>
    <row r="94" spans="1:13" ht="18" customHeight="1" x14ac:dyDescent="0.2">
      <c r="A94" s="77" t="s">
        <v>785</v>
      </c>
      <c r="B94" s="78"/>
      <c r="C94" s="78"/>
      <c r="D94" s="78"/>
      <c r="E94" s="78"/>
      <c r="F94" s="78"/>
      <c r="G94" s="78"/>
      <c r="H94" s="78"/>
      <c r="I94" s="78"/>
      <c r="J94" s="79"/>
      <c r="K94" s="91"/>
      <c r="L94" s="91"/>
    </row>
    <row r="95" spans="1:13" ht="18" customHeight="1" x14ac:dyDescent="0.2">
      <c r="A95" s="24" t="s">
        <v>52</v>
      </c>
      <c r="B95" s="51" t="s">
        <v>172</v>
      </c>
      <c r="C95" s="51" t="s">
        <v>175</v>
      </c>
      <c r="D95" s="24" t="s">
        <v>423</v>
      </c>
      <c r="E95" s="24"/>
      <c r="F95" s="217">
        <v>1</v>
      </c>
      <c r="G95" s="24"/>
      <c r="H95" s="33" t="s">
        <v>693</v>
      </c>
      <c r="I95" s="26" t="s">
        <v>173</v>
      </c>
      <c r="J95" s="27">
        <f>F95</f>
        <v>1</v>
      </c>
      <c r="K95" s="27">
        <f>J95</f>
        <v>1</v>
      </c>
      <c r="L95" s="27">
        <f>J95</f>
        <v>1</v>
      </c>
    </row>
    <row r="96" spans="1:13" ht="18" customHeight="1" x14ac:dyDescent="0.2">
      <c r="A96" s="24" t="s">
        <v>52</v>
      </c>
      <c r="B96" s="51" t="s">
        <v>172</v>
      </c>
      <c r="C96" s="51" t="s">
        <v>176</v>
      </c>
      <c r="D96" s="24" t="s">
        <v>423</v>
      </c>
      <c r="E96" s="24"/>
      <c r="F96" s="217">
        <v>1.2</v>
      </c>
      <c r="G96" s="24"/>
      <c r="H96" s="33" t="s">
        <v>693</v>
      </c>
      <c r="I96" s="26" t="s">
        <v>173</v>
      </c>
      <c r="J96" s="27">
        <f t="shared" ref="J96:J97" si="5">F96</f>
        <v>1.2</v>
      </c>
      <c r="K96" s="27">
        <f>J96</f>
        <v>1.2</v>
      </c>
      <c r="L96" s="27">
        <f>J96</f>
        <v>1.2</v>
      </c>
    </row>
    <row r="97" spans="1:13" ht="18" customHeight="1" x14ac:dyDescent="0.2">
      <c r="A97" s="24" t="s">
        <v>52</v>
      </c>
      <c r="B97" s="51" t="s">
        <v>172</v>
      </c>
      <c r="C97" s="51" t="s">
        <v>174</v>
      </c>
      <c r="D97" s="24" t="s">
        <v>423</v>
      </c>
      <c r="E97" s="24"/>
      <c r="F97" s="217">
        <v>2.5</v>
      </c>
      <c r="G97" s="24"/>
      <c r="H97" s="33" t="s">
        <v>693</v>
      </c>
      <c r="I97" s="26" t="s">
        <v>173</v>
      </c>
      <c r="J97" s="27">
        <f t="shared" si="5"/>
        <v>2.5</v>
      </c>
      <c r="K97" s="27">
        <f>J97</f>
        <v>2.5</v>
      </c>
      <c r="L97" s="27">
        <f>J97</f>
        <v>2.5</v>
      </c>
    </row>
    <row r="98" spans="1:13" ht="18" customHeight="1" x14ac:dyDescent="0.2">
      <c r="A98" s="24" t="s">
        <v>52</v>
      </c>
      <c r="B98" s="51" t="s">
        <v>172</v>
      </c>
      <c r="C98" s="24" t="s">
        <v>493</v>
      </c>
      <c r="D98" s="24" t="s">
        <v>421</v>
      </c>
      <c r="E98" s="24"/>
      <c r="F98" s="24"/>
      <c r="G98" s="24"/>
      <c r="H98" s="24" t="s">
        <v>20</v>
      </c>
      <c r="I98" s="26" t="s">
        <v>495</v>
      </c>
      <c r="J98" s="29">
        <f>J99 * J50</f>
        <v>1419400</v>
      </c>
      <c r="K98" s="29">
        <f>K99 * K50</f>
        <v>1419400</v>
      </c>
      <c r="L98" s="29">
        <f>L99 * L50</f>
        <v>1419400</v>
      </c>
    </row>
    <row r="99" spans="1:13" ht="18" customHeight="1" x14ac:dyDescent="0.2">
      <c r="A99" s="24" t="s">
        <v>52</v>
      </c>
      <c r="B99" s="51" t="s">
        <v>172</v>
      </c>
      <c r="C99" s="24" t="s">
        <v>494</v>
      </c>
      <c r="D99" s="24" t="s">
        <v>423</v>
      </c>
      <c r="E99" s="24"/>
      <c r="F99" s="25"/>
      <c r="G99" s="24"/>
      <c r="H99" s="24" t="s">
        <v>20</v>
      </c>
      <c r="I99" s="26" t="s">
        <v>424</v>
      </c>
      <c r="J99" s="27">
        <f>J95 + J96 + J97</f>
        <v>4.7</v>
      </c>
      <c r="K99" s="27">
        <f>K95 + K96 + K97</f>
        <v>4.7</v>
      </c>
      <c r="L99" s="27">
        <f>L95 + L96 + L97</f>
        <v>4.7</v>
      </c>
      <c r="M99" s="18" t="s">
        <v>338</v>
      </c>
    </row>
    <row r="100" spans="1:13" ht="18" customHeight="1" x14ac:dyDescent="0.2">
      <c r="A100" s="77" t="s">
        <v>786</v>
      </c>
      <c r="B100" s="78"/>
      <c r="C100" s="78"/>
      <c r="D100" s="78"/>
      <c r="E100" s="78"/>
      <c r="F100" s="78"/>
      <c r="G100" s="78"/>
      <c r="H100" s="78"/>
      <c r="I100" s="78"/>
      <c r="J100" s="79"/>
      <c r="K100" s="91"/>
      <c r="L100" s="91"/>
    </row>
    <row r="101" spans="1:13" ht="18" customHeight="1" x14ac:dyDescent="0.2">
      <c r="A101" s="24" t="s">
        <v>52</v>
      </c>
      <c r="B101" s="51" t="s">
        <v>787</v>
      </c>
      <c r="C101" s="24" t="s">
        <v>181</v>
      </c>
      <c r="D101" s="24" t="s">
        <v>182</v>
      </c>
      <c r="E101" s="24"/>
      <c r="F101" s="218">
        <v>0.11799999999999999</v>
      </c>
      <c r="G101" s="24"/>
      <c r="H101" s="24" t="s">
        <v>693</v>
      </c>
      <c r="I101" s="26" t="s">
        <v>183</v>
      </c>
      <c r="J101" s="44">
        <f>F101</f>
        <v>0.11799999999999999</v>
      </c>
      <c r="K101" s="44">
        <f>J101</f>
        <v>0.11799999999999999</v>
      </c>
      <c r="L101" s="44">
        <f>J101</f>
        <v>0.11799999999999999</v>
      </c>
    </row>
    <row r="102" spans="1:13" ht="18" customHeight="1" x14ac:dyDescent="0.2">
      <c r="A102" s="24" t="s">
        <v>52</v>
      </c>
      <c r="B102" s="51" t="s">
        <v>787</v>
      </c>
      <c r="C102" s="24" t="s">
        <v>58</v>
      </c>
      <c r="D102" s="24" t="s">
        <v>100</v>
      </c>
      <c r="E102" s="24"/>
      <c r="F102" s="25"/>
      <c r="G102" s="24"/>
      <c r="H102" s="24" t="s">
        <v>20</v>
      </c>
      <c r="I102" s="26" t="s">
        <v>184</v>
      </c>
      <c r="J102" s="29">
        <f>J101 * J52</f>
        <v>4814970.8086718814</v>
      </c>
      <c r="K102" s="29">
        <f>K101 * K52</f>
        <v>4814970.8086718814</v>
      </c>
      <c r="L102" s="29">
        <f>L101 * L52</f>
        <v>4814970.8086718814</v>
      </c>
    </row>
    <row r="103" spans="1:13" ht="18" customHeight="1" x14ac:dyDescent="0.2">
      <c r="A103" s="24" t="s">
        <v>52</v>
      </c>
      <c r="B103" s="51" t="s">
        <v>787</v>
      </c>
      <c r="C103" s="24" t="s">
        <v>58</v>
      </c>
      <c r="D103" s="24" t="s">
        <v>102</v>
      </c>
      <c r="E103" s="24"/>
      <c r="F103" s="25"/>
      <c r="G103" s="24"/>
      <c r="H103" s="24" t="s">
        <v>20</v>
      </c>
      <c r="I103" s="26" t="s">
        <v>103</v>
      </c>
      <c r="J103" s="29">
        <f>J102 / 1000</f>
        <v>4814.9708086718811</v>
      </c>
      <c r="K103" s="29">
        <f>K102 / 1000</f>
        <v>4814.9708086718811</v>
      </c>
      <c r="L103" s="29">
        <f>L102 / 1000</f>
        <v>4814.9708086718811</v>
      </c>
    </row>
    <row r="104" spans="1:13" ht="18" customHeight="1" x14ac:dyDescent="0.2">
      <c r="A104" s="24" t="s">
        <v>52</v>
      </c>
      <c r="B104" s="51" t="s">
        <v>787</v>
      </c>
      <c r="C104" s="24" t="s">
        <v>493</v>
      </c>
      <c r="D104" s="24" t="s">
        <v>421</v>
      </c>
      <c r="E104" s="24"/>
      <c r="F104" s="25"/>
      <c r="G104" s="24"/>
      <c r="H104" s="24" t="s">
        <v>20</v>
      </c>
      <c r="I104" s="26" t="s">
        <v>185</v>
      </c>
      <c r="J104" s="29">
        <f>J103 * J31</f>
        <v>3177880.7337234416</v>
      </c>
      <c r="K104" s="29">
        <f>K103 * K31</f>
        <v>3177880.7337234416</v>
      </c>
      <c r="L104" s="29">
        <f>L103 * L31</f>
        <v>3177880.7337234416</v>
      </c>
    </row>
    <row r="105" spans="1:13" ht="18" customHeight="1" x14ac:dyDescent="0.2">
      <c r="A105" s="24" t="s">
        <v>52</v>
      </c>
      <c r="B105" s="51" t="s">
        <v>787</v>
      </c>
      <c r="C105" s="24" t="s">
        <v>494</v>
      </c>
      <c r="D105" s="24" t="s">
        <v>423</v>
      </c>
      <c r="E105" s="24"/>
      <c r="F105" s="25"/>
      <c r="G105" s="24"/>
      <c r="H105" s="24" t="s">
        <v>20</v>
      </c>
      <c r="I105" s="26" t="s">
        <v>424</v>
      </c>
      <c r="J105" s="30">
        <f>J104 / J50</f>
        <v>10.522783886501463</v>
      </c>
      <c r="K105" s="30">
        <f>K104 / K50</f>
        <v>10.522783886501463</v>
      </c>
      <c r="L105" s="30">
        <f>L104 / L50</f>
        <v>10.522783886501463</v>
      </c>
      <c r="M105" s="18" t="s">
        <v>338</v>
      </c>
    </row>
    <row r="106" spans="1:13" ht="18" customHeight="1" x14ac:dyDescent="0.2">
      <c r="A106" s="77" t="s">
        <v>788</v>
      </c>
      <c r="B106" s="78"/>
      <c r="C106" s="78"/>
      <c r="D106" s="78"/>
      <c r="E106" s="78"/>
      <c r="F106" s="78"/>
      <c r="G106" s="78"/>
      <c r="H106" s="78"/>
      <c r="I106" s="78"/>
      <c r="J106" s="79"/>
      <c r="K106" s="91"/>
      <c r="L106" s="91"/>
    </row>
    <row r="107" spans="1:13" ht="18" customHeight="1" x14ac:dyDescent="0.2">
      <c r="A107" s="24" t="s">
        <v>52</v>
      </c>
      <c r="B107" s="51" t="s">
        <v>789</v>
      </c>
      <c r="C107" s="24" t="s">
        <v>62</v>
      </c>
      <c r="D107" s="24" t="s">
        <v>257</v>
      </c>
      <c r="E107" s="24"/>
      <c r="F107" s="218">
        <v>2.6989000000000002E-3</v>
      </c>
      <c r="G107" s="24"/>
      <c r="H107" s="24" t="s">
        <v>693</v>
      </c>
      <c r="I107" s="26" t="s">
        <v>183</v>
      </c>
      <c r="J107" s="44">
        <f>F107</f>
        <v>2.6989000000000002E-3</v>
      </c>
      <c r="K107" s="44">
        <f>J107</f>
        <v>2.6989000000000002E-3</v>
      </c>
      <c r="L107" s="44">
        <f>J107</f>
        <v>2.6989000000000002E-3</v>
      </c>
    </row>
    <row r="108" spans="1:13" ht="18" customHeight="1" x14ac:dyDescent="0.2">
      <c r="A108" s="24" t="s">
        <v>52</v>
      </c>
      <c r="B108" s="51" t="s">
        <v>789</v>
      </c>
      <c r="C108" s="24" t="s">
        <v>188</v>
      </c>
      <c r="D108" s="24" t="s">
        <v>186</v>
      </c>
      <c r="E108" s="24"/>
      <c r="F108" s="34"/>
      <c r="G108" s="24"/>
      <c r="H108" s="24" t="s">
        <v>20</v>
      </c>
      <c r="I108" s="26" t="s">
        <v>496</v>
      </c>
      <c r="J108" s="44">
        <f>J107 * J63</f>
        <v>4.0833142230919779E-2</v>
      </c>
      <c r="K108" s="44">
        <f>K107 * K63</f>
        <v>2.2139279154357649E-2</v>
      </c>
      <c r="L108" s="44">
        <f>L107 * L63</f>
        <v>6.4173048894485399E-2</v>
      </c>
    </row>
    <row r="109" spans="1:13" ht="18" customHeight="1" x14ac:dyDescent="0.2">
      <c r="A109" s="24" t="s">
        <v>52</v>
      </c>
      <c r="B109" s="51" t="s">
        <v>789</v>
      </c>
      <c r="C109" s="24" t="s">
        <v>187</v>
      </c>
      <c r="D109" s="24" t="s">
        <v>102</v>
      </c>
      <c r="E109" s="24"/>
      <c r="F109" s="34"/>
      <c r="G109" s="24"/>
      <c r="H109" s="24" t="s">
        <v>20</v>
      </c>
      <c r="I109" s="26" t="s">
        <v>189</v>
      </c>
      <c r="J109" s="29">
        <f>J108 * J81</f>
        <v>8942.4581485714316</v>
      </c>
      <c r="K109" s="29">
        <f>K108 * K81</f>
        <v>4848.5021348043256</v>
      </c>
      <c r="L109" s="29">
        <f>L108 * L81</f>
        <v>14053.897707892302</v>
      </c>
    </row>
    <row r="110" spans="1:13" ht="18" customHeight="1" x14ac:dyDescent="0.2">
      <c r="A110" s="24" t="s">
        <v>52</v>
      </c>
      <c r="B110" s="51" t="s">
        <v>789</v>
      </c>
      <c r="C110" s="24" t="s">
        <v>493</v>
      </c>
      <c r="D110" s="24" t="s">
        <v>421</v>
      </c>
      <c r="E110" s="24"/>
      <c r="F110" s="34"/>
      <c r="G110" s="24"/>
      <c r="H110" s="24" t="s">
        <v>20</v>
      </c>
      <c r="I110" s="26" t="s">
        <v>185</v>
      </c>
      <c r="J110" s="29">
        <f>J109 * J31</f>
        <v>5902022.3780571446</v>
      </c>
      <c r="K110" s="29">
        <f>K109 * K31</f>
        <v>3200011.4089708547</v>
      </c>
      <c r="L110" s="29">
        <f>L109 * L31</f>
        <v>9275572.4872089196</v>
      </c>
    </row>
    <row r="111" spans="1:13" ht="18" customHeight="1" x14ac:dyDescent="0.2">
      <c r="A111" s="24" t="s">
        <v>52</v>
      </c>
      <c r="B111" s="51" t="s">
        <v>789</v>
      </c>
      <c r="C111" s="24" t="s">
        <v>494</v>
      </c>
      <c r="D111" s="24" t="s">
        <v>423</v>
      </c>
      <c r="E111" s="24"/>
      <c r="F111" s="34"/>
      <c r="G111" s="24"/>
      <c r="H111" s="24" t="s">
        <v>20</v>
      </c>
      <c r="I111" s="26" t="s">
        <v>424</v>
      </c>
      <c r="J111" s="27">
        <f>J110 / J50</f>
        <v>19.543120457142862</v>
      </c>
      <c r="K111" s="27">
        <f>K110 / K50</f>
        <v>10.596064268115413</v>
      </c>
      <c r="L111" s="27">
        <f>L110 / L50</f>
        <v>30.713816182810991</v>
      </c>
      <c r="M111" s="18" t="s">
        <v>338</v>
      </c>
    </row>
    <row r="112" spans="1:13" ht="18" customHeight="1" x14ac:dyDescent="0.2">
      <c r="A112" s="24" t="s">
        <v>52</v>
      </c>
      <c r="B112" s="51" t="s">
        <v>789</v>
      </c>
      <c r="C112" s="24" t="s">
        <v>497</v>
      </c>
      <c r="D112" s="24" t="s">
        <v>190</v>
      </c>
      <c r="E112" s="218">
        <v>5.5699999999999999E-5</v>
      </c>
      <c r="F112" s="218">
        <v>1.9100000000000001E-4</v>
      </c>
      <c r="G112" s="218">
        <v>1.9100000000000001E-4</v>
      </c>
      <c r="H112" s="24" t="s">
        <v>693</v>
      </c>
      <c r="I112" s="26" t="s">
        <v>183</v>
      </c>
      <c r="J112" s="44">
        <f>F112</f>
        <v>1.9100000000000001E-4</v>
      </c>
      <c r="K112" s="44">
        <f>E112</f>
        <v>5.5699999999999999E-5</v>
      </c>
      <c r="L112" s="44">
        <f>G112</f>
        <v>1.9100000000000001E-4</v>
      </c>
    </row>
    <row r="113" spans="1:13" ht="18" customHeight="1" x14ac:dyDescent="0.2">
      <c r="A113" s="24" t="s">
        <v>52</v>
      </c>
      <c r="B113" s="51" t="s">
        <v>789</v>
      </c>
      <c r="C113" s="24" t="s">
        <v>498</v>
      </c>
      <c r="D113" s="24" t="s">
        <v>186</v>
      </c>
      <c r="E113" s="24"/>
      <c r="F113" s="34"/>
      <c r="G113" s="24"/>
      <c r="H113" s="24" t="s">
        <v>20</v>
      </c>
      <c r="I113" s="26" t="s">
        <v>499</v>
      </c>
      <c r="J113" s="35">
        <f>J112 * J65</f>
        <v>5.8049542669798759E-3</v>
      </c>
      <c r="K113" s="35">
        <f>K112 * K65</f>
        <v>1.4725813035446427E-3</v>
      </c>
      <c r="L113" s="35">
        <f>L112 * L65</f>
        <v>6.1833992726152516E-3</v>
      </c>
    </row>
    <row r="114" spans="1:13" ht="18" customHeight="1" x14ac:dyDescent="0.2">
      <c r="A114" s="24" t="s">
        <v>52</v>
      </c>
      <c r="B114" s="51" t="s">
        <v>789</v>
      </c>
      <c r="C114" s="24" t="s">
        <v>500</v>
      </c>
      <c r="D114" s="24" t="s">
        <v>102</v>
      </c>
      <c r="E114" s="24"/>
      <c r="F114" s="34"/>
      <c r="G114" s="24"/>
      <c r="H114" s="24" t="s">
        <v>20</v>
      </c>
      <c r="I114" s="26" t="s">
        <v>191</v>
      </c>
      <c r="J114" s="29">
        <f>J113 * J81</f>
        <v>1271.2849844685927</v>
      </c>
      <c r="K114" s="29">
        <f>K113 * K81</f>
        <v>322.49530547627677</v>
      </c>
      <c r="L114" s="29">
        <f>L113 * L81</f>
        <v>1354.1644407027402</v>
      </c>
    </row>
    <row r="115" spans="1:13" ht="18" customHeight="1" x14ac:dyDescent="0.2">
      <c r="A115" s="24" t="s">
        <v>52</v>
      </c>
      <c r="B115" s="51" t="s">
        <v>789</v>
      </c>
      <c r="C115" s="24" t="s">
        <v>493</v>
      </c>
      <c r="D115" s="24" t="s">
        <v>421</v>
      </c>
      <c r="E115" s="24"/>
      <c r="F115" s="34"/>
      <c r="G115" s="24"/>
      <c r="H115" s="24" t="s">
        <v>20</v>
      </c>
      <c r="I115" s="26" t="s">
        <v>185</v>
      </c>
      <c r="J115" s="29">
        <f>J114 * J31</f>
        <v>839048.08974927117</v>
      </c>
      <c r="K115" s="29">
        <f>K114 * K31</f>
        <v>212846.90161434267</v>
      </c>
      <c r="L115" s="29">
        <f>L114 * L31</f>
        <v>893748.53086380858</v>
      </c>
    </row>
    <row r="116" spans="1:13" ht="18" customHeight="1" x14ac:dyDescent="0.2">
      <c r="A116" s="24" t="s">
        <v>52</v>
      </c>
      <c r="B116" s="51" t="s">
        <v>789</v>
      </c>
      <c r="C116" s="24" t="s">
        <v>494</v>
      </c>
      <c r="D116" s="24" t="s">
        <v>423</v>
      </c>
      <c r="E116" s="24"/>
      <c r="F116" s="34"/>
      <c r="G116" s="24"/>
      <c r="H116" s="24" t="s">
        <v>20</v>
      </c>
      <c r="I116" s="26" t="s">
        <v>424</v>
      </c>
      <c r="J116" s="30">
        <f>J115 / J50</f>
        <v>2.7783049329446063</v>
      </c>
      <c r="K116" s="30">
        <f>K115 / K50</f>
        <v>0.70479106494815458</v>
      </c>
      <c r="L116" s="30">
        <f>L115 / L50</f>
        <v>2.9594322214033397</v>
      </c>
    </row>
    <row r="117" spans="1:13" ht="18" customHeight="1" x14ac:dyDescent="0.2">
      <c r="A117" s="24" t="s">
        <v>52</v>
      </c>
      <c r="B117" s="51" t="s">
        <v>789</v>
      </c>
      <c r="C117" s="24" t="s">
        <v>501</v>
      </c>
      <c r="D117" s="24" t="s">
        <v>421</v>
      </c>
      <c r="E117" s="24"/>
      <c r="F117" s="34"/>
      <c r="G117" s="24"/>
      <c r="H117" s="24" t="s">
        <v>20</v>
      </c>
      <c r="I117" s="26" t="s">
        <v>217</v>
      </c>
      <c r="J117" s="29">
        <f>J110 + J115</f>
        <v>6741070.4678064156</v>
      </c>
      <c r="K117" s="29">
        <f>K110 + K115</f>
        <v>3412858.3105851975</v>
      </c>
      <c r="L117" s="29">
        <f>L110 + L115</f>
        <v>10169321.018072728</v>
      </c>
    </row>
    <row r="118" spans="1:13" ht="18" customHeight="1" x14ac:dyDescent="0.2">
      <c r="A118" s="24" t="s">
        <v>52</v>
      </c>
      <c r="B118" s="51" t="s">
        <v>789</v>
      </c>
      <c r="C118" s="24" t="s">
        <v>502</v>
      </c>
      <c r="D118" s="24" t="s">
        <v>423</v>
      </c>
      <c r="E118" s="24"/>
      <c r="F118" s="34"/>
      <c r="G118" s="24"/>
      <c r="H118" s="24" t="s">
        <v>20</v>
      </c>
      <c r="I118" s="26" t="s">
        <v>424</v>
      </c>
      <c r="J118" s="30">
        <f>J117 / J50</f>
        <v>22.32142539008747</v>
      </c>
      <c r="K118" s="30">
        <f>K117 / K50</f>
        <v>11.300855333063568</v>
      </c>
      <c r="L118" s="30">
        <f>L117 / L50</f>
        <v>33.673248404214334</v>
      </c>
      <c r="M118" s="18" t="s">
        <v>338</v>
      </c>
    </row>
    <row r="119" spans="1:13" ht="18" customHeight="1" x14ac:dyDescent="0.2">
      <c r="A119" s="77" t="s">
        <v>798</v>
      </c>
      <c r="B119" s="78"/>
      <c r="C119" s="78"/>
      <c r="D119" s="78"/>
      <c r="E119" s="78"/>
      <c r="F119" s="78"/>
      <c r="G119" s="78"/>
      <c r="H119" s="78"/>
      <c r="I119" s="78"/>
      <c r="J119" s="79"/>
      <c r="K119" s="91"/>
      <c r="L119" s="91"/>
    </row>
    <row r="120" spans="1:13" ht="18" customHeight="1" x14ac:dyDescent="0.2">
      <c r="A120" s="24" t="s">
        <v>52</v>
      </c>
      <c r="B120" s="51" t="s">
        <v>790</v>
      </c>
      <c r="C120" s="24" t="s">
        <v>503</v>
      </c>
      <c r="D120" s="24" t="s">
        <v>504</v>
      </c>
      <c r="E120" s="24"/>
      <c r="F120" s="217">
        <v>63.627652292950032</v>
      </c>
      <c r="G120" s="24"/>
      <c r="H120" s="33" t="s">
        <v>693</v>
      </c>
      <c r="I120" s="26" t="s">
        <v>183</v>
      </c>
      <c r="J120" s="27">
        <f>F120</f>
        <v>63.627652292950032</v>
      </c>
      <c r="K120" s="27">
        <f>J120</f>
        <v>63.627652292950032</v>
      </c>
      <c r="L120" s="27">
        <f>J120</f>
        <v>63.627652292950032</v>
      </c>
    </row>
    <row r="121" spans="1:13" ht="18" customHeight="1" x14ac:dyDescent="0.2">
      <c r="A121" s="24" t="s">
        <v>52</v>
      </c>
      <c r="B121" s="51" t="s">
        <v>790</v>
      </c>
      <c r="C121" s="24" t="s">
        <v>505</v>
      </c>
      <c r="D121" s="24" t="s">
        <v>421</v>
      </c>
      <c r="E121" s="24"/>
      <c r="F121" s="34"/>
      <c r="G121" s="24"/>
      <c r="H121" s="24" t="s">
        <v>20</v>
      </c>
      <c r="I121" s="26" t="s">
        <v>506</v>
      </c>
      <c r="J121" s="29">
        <f>J120 * J108 * J80</f>
        <v>23707.81740506503</v>
      </c>
      <c r="K121" s="29">
        <f>K120 * K108 * K80</f>
        <v>12854.116998956481</v>
      </c>
      <c r="L121" s="29">
        <f>L120 * L108 * L80</f>
        <v>37259.021529935788</v>
      </c>
    </row>
    <row r="122" spans="1:13" ht="18" customHeight="1" x14ac:dyDescent="0.2">
      <c r="A122" s="24" t="s">
        <v>52</v>
      </c>
      <c r="B122" s="51" t="s">
        <v>790</v>
      </c>
      <c r="C122" s="24" t="s">
        <v>507</v>
      </c>
      <c r="D122" s="24" t="s">
        <v>435</v>
      </c>
      <c r="E122" s="24"/>
      <c r="F122" s="34"/>
      <c r="G122" s="24"/>
      <c r="H122" s="24" t="s">
        <v>20</v>
      </c>
      <c r="I122" s="26" t="s">
        <v>424</v>
      </c>
      <c r="J122" s="30">
        <f>J121 / J50</f>
        <v>7.8502706639288183E-2</v>
      </c>
      <c r="K122" s="30">
        <f>K121 / K50</f>
        <v>4.256330132104795E-2</v>
      </c>
      <c r="L122" s="30">
        <f>L121 / L50</f>
        <v>0.12337424347660857</v>
      </c>
      <c r="M122" s="18" t="s">
        <v>338</v>
      </c>
    </row>
    <row r="123" spans="1:13" ht="18" customHeight="1" x14ac:dyDescent="0.2">
      <c r="A123" s="77" t="s">
        <v>799</v>
      </c>
      <c r="B123" s="78"/>
      <c r="C123" s="78"/>
      <c r="D123" s="78"/>
      <c r="E123" s="78"/>
      <c r="F123" s="78"/>
      <c r="G123" s="78"/>
      <c r="H123" s="78"/>
      <c r="I123" s="78"/>
      <c r="J123" s="79"/>
      <c r="K123" s="91"/>
      <c r="L123" s="91"/>
    </row>
    <row r="124" spans="1:13" ht="18" customHeight="1" x14ac:dyDescent="0.2">
      <c r="A124" s="24" t="s">
        <v>52</v>
      </c>
      <c r="B124" s="51" t="s">
        <v>791</v>
      </c>
      <c r="C124" s="24" t="s">
        <v>192</v>
      </c>
      <c r="D124" s="24" t="s">
        <v>193</v>
      </c>
      <c r="E124" s="24"/>
      <c r="F124" s="218">
        <v>7.8700000000000005E-4</v>
      </c>
      <c r="G124" s="24"/>
      <c r="H124" s="33" t="s">
        <v>693</v>
      </c>
      <c r="I124" s="26" t="s">
        <v>183</v>
      </c>
      <c r="J124" s="44">
        <f>F124</f>
        <v>7.8700000000000005E-4</v>
      </c>
      <c r="K124" s="44">
        <f>J124</f>
        <v>7.8700000000000005E-4</v>
      </c>
      <c r="L124" s="44">
        <f>J124</f>
        <v>7.8700000000000005E-4</v>
      </c>
    </row>
    <row r="125" spans="1:13" ht="18" customHeight="1" x14ac:dyDescent="0.2">
      <c r="A125" s="24" t="s">
        <v>52</v>
      </c>
      <c r="B125" s="51" t="s">
        <v>791</v>
      </c>
      <c r="C125" s="24" t="s">
        <v>63</v>
      </c>
      <c r="D125" s="24" t="s">
        <v>100</v>
      </c>
      <c r="E125" s="24"/>
      <c r="F125" s="34"/>
      <c r="G125" s="24"/>
      <c r="H125" s="24" t="s">
        <v>20</v>
      </c>
      <c r="I125" s="26" t="s">
        <v>194</v>
      </c>
      <c r="J125" s="29">
        <f>J124 * J78</f>
        <v>761009.46625190275</v>
      </c>
      <c r="K125" s="29">
        <f>K124 * K78</f>
        <v>917423.97469294595</v>
      </c>
      <c r="L125" s="29">
        <f>L124 * L78</f>
        <v>421368.15623329458</v>
      </c>
    </row>
    <row r="126" spans="1:13" ht="18" customHeight="1" x14ac:dyDescent="0.2">
      <c r="A126" s="24" t="s">
        <v>52</v>
      </c>
      <c r="B126" s="51" t="s">
        <v>791</v>
      </c>
      <c r="C126" s="24" t="s">
        <v>63</v>
      </c>
      <c r="D126" s="24" t="s">
        <v>102</v>
      </c>
      <c r="E126" s="24"/>
      <c r="F126" s="34"/>
      <c r="G126" s="24"/>
      <c r="H126" s="24" t="s">
        <v>20</v>
      </c>
      <c r="I126" s="26" t="s">
        <v>103</v>
      </c>
      <c r="J126" s="29">
        <f>J125 / 1000</f>
        <v>761.00946625190272</v>
      </c>
      <c r="K126" s="29">
        <f>K125 / 1000</f>
        <v>917.42397469294599</v>
      </c>
      <c r="L126" s="29">
        <f>L125 / 1000</f>
        <v>421.3681562332946</v>
      </c>
    </row>
    <row r="127" spans="1:13" ht="18" customHeight="1" x14ac:dyDescent="0.2">
      <c r="A127" s="24" t="s">
        <v>52</v>
      </c>
      <c r="B127" s="51" t="s">
        <v>791</v>
      </c>
      <c r="C127" s="24" t="s">
        <v>493</v>
      </c>
      <c r="D127" s="24" t="s">
        <v>421</v>
      </c>
      <c r="E127" s="24"/>
      <c r="F127" s="34"/>
      <c r="G127" s="24"/>
      <c r="H127" s="24" t="s">
        <v>20</v>
      </c>
      <c r="I127" s="26" t="s">
        <v>185</v>
      </c>
      <c r="J127" s="29">
        <f>J126 * J31</f>
        <v>502266.24772625579</v>
      </c>
      <c r="K127" s="29">
        <f>K126 * K31</f>
        <v>605499.82329734438</v>
      </c>
      <c r="L127" s="29">
        <f>L126 * L31</f>
        <v>278102.98311397445</v>
      </c>
    </row>
    <row r="128" spans="1:13" ht="18" customHeight="1" x14ac:dyDescent="0.2">
      <c r="A128" s="24" t="s">
        <v>52</v>
      </c>
      <c r="B128" s="51" t="s">
        <v>791</v>
      </c>
      <c r="C128" s="24" t="s">
        <v>494</v>
      </c>
      <c r="D128" s="24" t="s">
        <v>423</v>
      </c>
      <c r="E128" s="24"/>
      <c r="F128" s="34"/>
      <c r="G128" s="24"/>
      <c r="H128" s="24" t="s">
        <v>20</v>
      </c>
      <c r="I128" s="26" t="s">
        <v>424</v>
      </c>
      <c r="J128" s="27">
        <f>J127 / J50</f>
        <v>1.663133270616741</v>
      </c>
      <c r="K128" s="27">
        <f>K127 / K50</f>
        <v>2.0049663023090876</v>
      </c>
      <c r="L128" s="27">
        <f>L127 / L50</f>
        <v>0.92087080501316043</v>
      </c>
      <c r="M128" s="18" t="s">
        <v>338</v>
      </c>
    </row>
    <row r="129" spans="1:13" ht="18" customHeight="1" x14ac:dyDescent="0.2">
      <c r="A129" s="77" t="s">
        <v>800</v>
      </c>
      <c r="B129" s="78"/>
      <c r="C129" s="78"/>
      <c r="D129" s="78"/>
      <c r="E129" s="78"/>
      <c r="F129" s="78"/>
      <c r="G129" s="78"/>
      <c r="H129" s="78"/>
      <c r="I129" s="78"/>
      <c r="J129" s="79"/>
      <c r="K129" s="91"/>
      <c r="L129" s="91"/>
    </row>
    <row r="130" spans="1:13" ht="18" customHeight="1" x14ac:dyDescent="0.2">
      <c r="A130" s="24" t="s">
        <v>52</v>
      </c>
      <c r="B130" s="51" t="s">
        <v>792</v>
      </c>
      <c r="C130" s="24" t="s">
        <v>215</v>
      </c>
      <c r="D130" s="24" t="s">
        <v>202</v>
      </c>
      <c r="E130" s="218">
        <v>4.3502719615697216E-3</v>
      </c>
      <c r="F130" s="218">
        <v>8.7005439231394432E-3</v>
      </c>
      <c r="G130" s="218">
        <v>1.7401087846278886E-2</v>
      </c>
      <c r="H130" s="33" t="s">
        <v>693</v>
      </c>
      <c r="I130" s="26" t="s">
        <v>755</v>
      </c>
      <c r="J130" s="44">
        <f>F130</f>
        <v>8.7005439231394432E-3</v>
      </c>
      <c r="K130" s="44">
        <f>E130</f>
        <v>4.3502719615697216E-3</v>
      </c>
      <c r="L130" s="44">
        <f>G130</f>
        <v>1.7401087846278886E-2</v>
      </c>
    </row>
    <row r="131" spans="1:13" ht="18" customHeight="1" x14ac:dyDescent="0.2">
      <c r="A131" s="24" t="s">
        <v>52</v>
      </c>
      <c r="B131" s="51" t="s">
        <v>792</v>
      </c>
      <c r="C131" s="24" t="s">
        <v>197</v>
      </c>
      <c r="D131" s="24" t="s">
        <v>75</v>
      </c>
      <c r="E131" s="24"/>
      <c r="F131" s="209">
        <v>0.95</v>
      </c>
      <c r="G131" s="24"/>
      <c r="H131" s="119" t="s">
        <v>693</v>
      </c>
      <c r="I131" s="26" t="s">
        <v>755</v>
      </c>
      <c r="J131" s="40">
        <f>F131</f>
        <v>0.95</v>
      </c>
      <c r="K131" s="40">
        <f>J131</f>
        <v>0.95</v>
      </c>
      <c r="L131" s="40">
        <f>J131</f>
        <v>0.95</v>
      </c>
    </row>
    <row r="132" spans="1:13" ht="18" customHeight="1" x14ac:dyDescent="0.2">
      <c r="A132" s="24" t="s">
        <v>52</v>
      </c>
      <c r="B132" s="51" t="s">
        <v>792</v>
      </c>
      <c r="C132" s="24" t="s">
        <v>200</v>
      </c>
      <c r="D132" s="24" t="s">
        <v>201</v>
      </c>
      <c r="E132" s="24"/>
      <c r="F132" s="39"/>
      <c r="G132" s="24"/>
      <c r="H132" s="24" t="s">
        <v>20</v>
      </c>
      <c r="I132" s="26" t="s">
        <v>214</v>
      </c>
      <c r="J132" s="53">
        <f>J130 * J131 * J52</f>
        <v>337273.06575431995</v>
      </c>
      <c r="K132" s="53">
        <f>K130 * K131 * K52</f>
        <v>168636.53287715997</v>
      </c>
      <c r="L132" s="53">
        <f>L130 * L131 * L52</f>
        <v>674546.1315086399</v>
      </c>
    </row>
    <row r="133" spans="1:13" ht="18" customHeight="1" x14ac:dyDescent="0.2">
      <c r="A133" s="24" t="s">
        <v>52</v>
      </c>
      <c r="B133" s="51" t="s">
        <v>792</v>
      </c>
      <c r="C133" s="24" t="s">
        <v>198</v>
      </c>
      <c r="D133" s="24" t="s">
        <v>75</v>
      </c>
      <c r="E133" s="24"/>
      <c r="F133" s="209">
        <v>0.99</v>
      </c>
      <c r="G133" s="24"/>
      <c r="H133" s="33" t="s">
        <v>693</v>
      </c>
      <c r="I133" s="26" t="s">
        <v>183</v>
      </c>
      <c r="J133" s="40">
        <f>F133</f>
        <v>0.99</v>
      </c>
      <c r="K133" s="40">
        <f>J133</f>
        <v>0.99</v>
      </c>
      <c r="L133" s="40">
        <f>J133</f>
        <v>0.99</v>
      </c>
    </row>
    <row r="134" spans="1:13" ht="18" customHeight="1" x14ac:dyDescent="0.2">
      <c r="A134" s="24" t="s">
        <v>52</v>
      </c>
      <c r="B134" s="51" t="s">
        <v>792</v>
      </c>
      <c r="C134" s="24" t="s">
        <v>508</v>
      </c>
      <c r="D134" s="24" t="s">
        <v>509</v>
      </c>
      <c r="E134" s="24"/>
      <c r="F134" s="41"/>
      <c r="G134" s="24"/>
      <c r="H134" s="24" t="s">
        <v>20</v>
      </c>
      <c r="I134" s="26" t="s">
        <v>756</v>
      </c>
      <c r="J134" s="42">
        <f>J133 * (44 / 12) * (60 / 72)</f>
        <v>3.0249999999999999</v>
      </c>
      <c r="K134" s="42">
        <f t="shared" ref="K134:L134" si="6">K133 * (44 / 12) * (60 / 72)</f>
        <v>3.0249999999999999</v>
      </c>
      <c r="L134" s="42">
        <f t="shared" si="6"/>
        <v>3.0249999999999999</v>
      </c>
    </row>
    <row r="135" spans="1:13" ht="18" customHeight="1" x14ac:dyDescent="0.2">
      <c r="A135" s="24" t="s">
        <v>52</v>
      </c>
      <c r="B135" s="51" t="s">
        <v>792</v>
      </c>
      <c r="C135" s="24" t="s">
        <v>493</v>
      </c>
      <c r="D135" s="24" t="s">
        <v>432</v>
      </c>
      <c r="E135" s="24"/>
      <c r="F135" s="34"/>
      <c r="G135" s="24"/>
      <c r="H135" s="24" t="s">
        <v>20</v>
      </c>
      <c r="I135" s="26" t="s">
        <v>511</v>
      </c>
      <c r="J135" s="29">
        <f>J132 * J133 * J134</f>
        <v>1010048.5136677496</v>
      </c>
      <c r="K135" s="29">
        <f>K132 * K133 * K134</f>
        <v>505024.2568338748</v>
      </c>
      <c r="L135" s="29">
        <f>L132 * L133 * L134</f>
        <v>2020097.0273354992</v>
      </c>
    </row>
    <row r="136" spans="1:13" ht="18" customHeight="1" x14ac:dyDescent="0.2">
      <c r="A136" s="24" t="s">
        <v>52</v>
      </c>
      <c r="B136" s="51" t="s">
        <v>792</v>
      </c>
      <c r="C136" s="24" t="s">
        <v>494</v>
      </c>
      <c r="D136" s="24" t="s">
        <v>435</v>
      </c>
      <c r="E136" s="24"/>
      <c r="F136" s="34"/>
      <c r="G136" s="24"/>
      <c r="H136" s="24" t="s">
        <v>20</v>
      </c>
      <c r="I136" s="26" t="s">
        <v>424</v>
      </c>
      <c r="J136" s="30">
        <f>J135 / J50</f>
        <v>3.3445315022110913</v>
      </c>
      <c r="K136" s="30">
        <f>K135 / K50</f>
        <v>1.6722657511055457</v>
      </c>
      <c r="L136" s="30">
        <f>L135 / L50</f>
        <v>6.6890630044221826</v>
      </c>
      <c r="M136" s="18" t="s">
        <v>338</v>
      </c>
    </row>
    <row r="137" spans="1:13" ht="18" customHeight="1" x14ac:dyDescent="0.2">
      <c r="A137" s="24" t="s">
        <v>52</v>
      </c>
      <c r="B137" s="51" t="s">
        <v>792</v>
      </c>
      <c r="C137" s="24" t="s">
        <v>212</v>
      </c>
      <c r="D137" s="24" t="s">
        <v>75</v>
      </c>
      <c r="E137" s="24"/>
      <c r="F137" s="39"/>
      <c r="G137" s="24"/>
      <c r="H137" s="24" t="s">
        <v>20</v>
      </c>
      <c r="I137" s="26" t="s">
        <v>218</v>
      </c>
      <c r="J137" s="40">
        <f>1 - J131</f>
        <v>5.0000000000000044E-2</v>
      </c>
      <c r="K137" s="40">
        <f t="shared" ref="K137:L137" si="7">1 - K131</f>
        <v>5.0000000000000044E-2</v>
      </c>
      <c r="L137" s="40">
        <f t="shared" si="7"/>
        <v>5.0000000000000044E-2</v>
      </c>
    </row>
    <row r="138" spans="1:13" ht="18" customHeight="1" x14ac:dyDescent="0.2">
      <c r="A138" s="24" t="s">
        <v>52</v>
      </c>
      <c r="B138" s="51" t="s">
        <v>792</v>
      </c>
      <c r="C138" s="24" t="s">
        <v>213</v>
      </c>
      <c r="D138" s="24" t="s">
        <v>201</v>
      </c>
      <c r="E138" s="24"/>
      <c r="F138" s="34"/>
      <c r="G138" s="24"/>
      <c r="H138" s="24" t="s">
        <v>20</v>
      </c>
      <c r="I138" s="26" t="s">
        <v>216</v>
      </c>
      <c r="J138" s="29">
        <f>J137 * J130 * J52</f>
        <v>17751.213987069488</v>
      </c>
      <c r="K138" s="29">
        <f>K137 * K130 * K52</f>
        <v>8875.6069935347441</v>
      </c>
      <c r="L138" s="29">
        <f>L137 * L130 * L52</f>
        <v>35502.427974138976</v>
      </c>
    </row>
    <row r="139" spans="1:13" ht="18" customHeight="1" x14ac:dyDescent="0.2">
      <c r="A139" s="77" t="s">
        <v>801</v>
      </c>
      <c r="B139" s="78"/>
      <c r="C139" s="78"/>
      <c r="D139" s="78"/>
      <c r="E139" s="78"/>
      <c r="F139" s="78"/>
      <c r="G139" s="78"/>
      <c r="H139" s="78"/>
      <c r="I139" s="78"/>
      <c r="J139" s="79"/>
      <c r="K139" s="91"/>
      <c r="L139" s="91"/>
    </row>
    <row r="140" spans="1:13" ht="18" customHeight="1" x14ac:dyDescent="0.2">
      <c r="A140" s="24" t="s">
        <v>52</v>
      </c>
      <c r="B140" s="51" t="s">
        <v>793</v>
      </c>
      <c r="C140" s="24" t="s">
        <v>205</v>
      </c>
      <c r="D140" s="24" t="s">
        <v>206</v>
      </c>
      <c r="E140" s="218">
        <v>2.4758409390762555E-3</v>
      </c>
      <c r="F140" s="218">
        <v>3.0948011738453191E-3</v>
      </c>
      <c r="G140" s="218">
        <v>3.7137614086143827E-3</v>
      </c>
      <c r="H140" s="33" t="s">
        <v>693</v>
      </c>
      <c r="I140" s="26" t="s">
        <v>755</v>
      </c>
      <c r="J140" s="44">
        <f>F140</f>
        <v>3.0948011738453191E-3</v>
      </c>
      <c r="K140" s="44">
        <f>E140</f>
        <v>2.4758409390762555E-3</v>
      </c>
      <c r="L140" s="44">
        <f>G140</f>
        <v>3.7137614086143827E-3</v>
      </c>
    </row>
    <row r="141" spans="1:13" ht="18" customHeight="1" x14ac:dyDescent="0.2">
      <c r="A141" s="24" t="s">
        <v>52</v>
      </c>
      <c r="B141" s="51" t="s">
        <v>793</v>
      </c>
      <c r="C141" s="24" t="s">
        <v>207</v>
      </c>
      <c r="D141" s="24" t="s">
        <v>208</v>
      </c>
      <c r="E141" s="24"/>
      <c r="F141" s="32"/>
      <c r="G141" s="24"/>
      <c r="H141" s="24" t="s">
        <v>20</v>
      </c>
      <c r="I141" s="26" t="s">
        <v>209</v>
      </c>
      <c r="J141" s="29">
        <f>J140 * J52</f>
        <v>126282.85856532784</v>
      </c>
      <c r="K141" s="29">
        <f>K140 * K52</f>
        <v>101026.28685226229</v>
      </c>
      <c r="L141" s="29">
        <f>L140 * L52</f>
        <v>151539.43027839341</v>
      </c>
    </row>
    <row r="142" spans="1:13" ht="18" customHeight="1" x14ac:dyDescent="0.2">
      <c r="A142" s="24" t="s">
        <v>52</v>
      </c>
      <c r="B142" s="51" t="s">
        <v>793</v>
      </c>
      <c r="C142" s="24" t="s">
        <v>512</v>
      </c>
      <c r="D142" s="24" t="s">
        <v>513</v>
      </c>
      <c r="E142" s="24"/>
      <c r="F142" s="218">
        <v>0.16813559764183611</v>
      </c>
      <c r="G142" s="24"/>
      <c r="H142" s="33" t="s">
        <v>693</v>
      </c>
      <c r="I142" s="26" t="s">
        <v>757</v>
      </c>
      <c r="J142" s="44">
        <f>F142</f>
        <v>0.16813559764183611</v>
      </c>
      <c r="K142" s="44">
        <f>J142</f>
        <v>0.16813559764183611</v>
      </c>
      <c r="L142" s="44">
        <f>J142</f>
        <v>0.16813559764183611</v>
      </c>
    </row>
    <row r="143" spans="1:13" ht="18" customHeight="1" x14ac:dyDescent="0.2">
      <c r="A143" s="24" t="s">
        <v>52</v>
      </c>
      <c r="B143" s="51" t="s">
        <v>793</v>
      </c>
      <c r="C143" s="24" t="s">
        <v>514</v>
      </c>
      <c r="D143" s="24" t="s">
        <v>515</v>
      </c>
      <c r="E143" s="24"/>
      <c r="F143" s="218">
        <v>1.8096395844748085E-2</v>
      </c>
      <c r="G143" s="24"/>
      <c r="H143" s="33" t="s">
        <v>693</v>
      </c>
      <c r="I143" s="26" t="s">
        <v>757</v>
      </c>
      <c r="J143" s="44">
        <f t="shared" ref="J143:J144" si="8">F143</f>
        <v>1.8096395844748085E-2</v>
      </c>
      <c r="K143" s="44">
        <f>J143</f>
        <v>1.8096395844748085E-2</v>
      </c>
      <c r="L143" s="44">
        <f>J143</f>
        <v>1.8096395844748085E-2</v>
      </c>
    </row>
    <row r="144" spans="1:13" ht="18" customHeight="1" x14ac:dyDescent="0.2">
      <c r="A144" s="24" t="s">
        <v>52</v>
      </c>
      <c r="B144" s="51" t="s">
        <v>793</v>
      </c>
      <c r="C144" s="24" t="s">
        <v>516</v>
      </c>
      <c r="D144" s="24" t="s">
        <v>517</v>
      </c>
      <c r="E144" s="24"/>
      <c r="F144" s="218">
        <v>4.5959731116537071E-6</v>
      </c>
      <c r="G144" s="24"/>
      <c r="H144" s="33" t="s">
        <v>693</v>
      </c>
      <c r="I144" s="26" t="s">
        <v>757</v>
      </c>
      <c r="J144" s="44">
        <f t="shared" si="8"/>
        <v>4.5959731116537071E-6</v>
      </c>
      <c r="K144" s="44">
        <f>J144</f>
        <v>4.5959731116537071E-6</v>
      </c>
      <c r="L144" s="44">
        <f>J144</f>
        <v>4.5959731116537071E-6</v>
      </c>
    </row>
    <row r="145" spans="1:13" ht="18" customHeight="1" x14ac:dyDescent="0.2">
      <c r="A145" s="24" t="s">
        <v>52</v>
      </c>
      <c r="B145" s="51" t="s">
        <v>793</v>
      </c>
      <c r="C145" s="24" t="s">
        <v>518</v>
      </c>
      <c r="D145" s="24" t="s">
        <v>432</v>
      </c>
      <c r="E145" s="24"/>
      <c r="F145" s="43"/>
      <c r="G145" s="24"/>
      <c r="H145" s="24" t="s">
        <v>20</v>
      </c>
      <c r="I145" s="26" t="s">
        <v>519</v>
      </c>
      <c r="J145" s="29">
        <f>J142 * J141</f>
        <v>21232.643896800859</v>
      </c>
      <c r="K145" s="29">
        <f>K142 * K141</f>
        <v>16986.115117440691</v>
      </c>
      <c r="L145" s="29">
        <f>L142 * L141</f>
        <v>25479.17267616103</v>
      </c>
    </row>
    <row r="146" spans="1:13" ht="18" customHeight="1" x14ac:dyDescent="0.2">
      <c r="A146" s="24" t="s">
        <v>52</v>
      </c>
      <c r="B146" s="51" t="s">
        <v>793</v>
      </c>
      <c r="C146" s="24" t="s">
        <v>520</v>
      </c>
      <c r="D146" s="24" t="s">
        <v>521</v>
      </c>
      <c r="E146" s="24"/>
      <c r="F146" s="43"/>
      <c r="G146" s="24"/>
      <c r="H146" s="24" t="s">
        <v>20</v>
      </c>
      <c r="I146" s="26" t="s">
        <v>522</v>
      </c>
      <c r="J146" s="29">
        <f>J143 * J141</f>
        <v>2285.2645970045087</v>
      </c>
      <c r="K146" s="29">
        <f>K143 * K141</f>
        <v>1828.2116776036073</v>
      </c>
      <c r="L146" s="29">
        <f>L143 * L141</f>
        <v>2742.3175164054105</v>
      </c>
    </row>
    <row r="147" spans="1:13" ht="18" customHeight="1" x14ac:dyDescent="0.2">
      <c r="A147" s="24" t="s">
        <v>52</v>
      </c>
      <c r="B147" s="51" t="s">
        <v>793</v>
      </c>
      <c r="C147" s="24" t="s">
        <v>523</v>
      </c>
      <c r="D147" s="24" t="s">
        <v>524</v>
      </c>
      <c r="E147" s="24"/>
      <c r="F147" s="43"/>
      <c r="G147" s="24"/>
      <c r="H147" s="24" t="s">
        <v>20</v>
      </c>
      <c r="I147" s="26" t="s">
        <v>525</v>
      </c>
      <c r="J147" s="30">
        <f>J144 * J141</f>
        <v>0.58039262242901479</v>
      </c>
      <c r="K147" s="30">
        <f>K144 * K141</f>
        <v>0.46431409794321193</v>
      </c>
      <c r="L147" s="30">
        <f>L144 * L141</f>
        <v>0.69647114691481771</v>
      </c>
    </row>
    <row r="148" spans="1:13" ht="18" customHeight="1" x14ac:dyDescent="0.2">
      <c r="A148" s="24" t="s">
        <v>52</v>
      </c>
      <c r="B148" s="51" t="s">
        <v>793</v>
      </c>
      <c r="C148" s="24" t="s">
        <v>520</v>
      </c>
      <c r="D148" s="24" t="s">
        <v>421</v>
      </c>
      <c r="E148" s="24"/>
      <c r="F148" s="43"/>
      <c r="G148" s="24"/>
      <c r="H148" s="24" t="s">
        <v>20</v>
      </c>
      <c r="I148" s="26" t="s">
        <v>526</v>
      </c>
      <c r="J148" s="29">
        <f>J146 * '5. Unit Conversions'!D15</f>
        <v>77698.996298153303</v>
      </c>
      <c r="K148" s="29">
        <f>K146 * '5. Unit Conversions'!D15</f>
        <v>62159.197038522645</v>
      </c>
      <c r="L148" s="29">
        <f>L146 * '5. Unit Conversions'!D15</f>
        <v>93238.79555778396</v>
      </c>
    </row>
    <row r="149" spans="1:13" ht="18" customHeight="1" x14ac:dyDescent="0.2">
      <c r="A149" s="24" t="s">
        <v>52</v>
      </c>
      <c r="B149" s="51" t="s">
        <v>793</v>
      </c>
      <c r="C149" s="24" t="s">
        <v>523</v>
      </c>
      <c r="D149" s="24" t="s">
        <v>421</v>
      </c>
      <c r="E149" s="24"/>
      <c r="F149" s="43"/>
      <c r="G149" s="24"/>
      <c r="H149" s="24" t="s">
        <v>20</v>
      </c>
      <c r="I149" s="26" t="s">
        <v>527</v>
      </c>
      <c r="J149" s="29">
        <f>J147 * '5. Unit Conversions'!D16</f>
        <v>172.9570014838464</v>
      </c>
      <c r="K149" s="29">
        <f>K147 * '5. Unit Conversions'!D16</f>
        <v>138.36560118707715</v>
      </c>
      <c r="L149" s="29">
        <f>L147 * '5. Unit Conversions'!D16</f>
        <v>207.54840178061568</v>
      </c>
    </row>
    <row r="150" spans="1:13" ht="18" customHeight="1" x14ac:dyDescent="0.2">
      <c r="A150" s="24" t="s">
        <v>52</v>
      </c>
      <c r="B150" s="51" t="s">
        <v>793</v>
      </c>
      <c r="C150" s="24" t="s">
        <v>493</v>
      </c>
      <c r="D150" s="24" t="s">
        <v>421</v>
      </c>
      <c r="E150" s="24"/>
      <c r="F150" s="43"/>
      <c r="G150" s="24"/>
      <c r="H150" s="24" t="s">
        <v>20</v>
      </c>
      <c r="I150" s="26" t="s">
        <v>528</v>
      </c>
      <c r="J150" s="29">
        <f>J145 + J148 + J149</f>
        <v>99104.597196438001</v>
      </c>
      <c r="K150" s="29">
        <f>K145 + K148 + K149</f>
        <v>79283.677757150406</v>
      </c>
      <c r="L150" s="29">
        <f>L145 + L148 + L149</f>
        <v>118925.51663572561</v>
      </c>
    </row>
    <row r="151" spans="1:13" ht="18" customHeight="1" x14ac:dyDescent="0.2">
      <c r="A151" s="24" t="s">
        <v>52</v>
      </c>
      <c r="B151" s="51" t="s">
        <v>793</v>
      </c>
      <c r="C151" s="24" t="s">
        <v>494</v>
      </c>
      <c r="D151" s="24" t="s">
        <v>423</v>
      </c>
      <c r="E151" s="24"/>
      <c r="F151" s="43"/>
      <c r="G151" s="24"/>
      <c r="H151" s="24" t="s">
        <v>20</v>
      </c>
      <c r="I151" s="26" t="s">
        <v>424</v>
      </c>
      <c r="J151" s="30">
        <f>J150 / J50</f>
        <v>0.32816091786899998</v>
      </c>
      <c r="K151" s="30">
        <f>K150 / K50</f>
        <v>0.26252873429520002</v>
      </c>
      <c r="L151" s="30">
        <f>L150 / L50</f>
        <v>0.39379310144280005</v>
      </c>
      <c r="M151" s="18" t="s">
        <v>338</v>
      </c>
    </row>
    <row r="152" spans="1:13" ht="18" customHeight="1" x14ac:dyDescent="0.2">
      <c r="A152" s="77" t="s">
        <v>802</v>
      </c>
      <c r="B152" s="78"/>
      <c r="C152" s="78"/>
      <c r="D152" s="78"/>
      <c r="E152" s="78"/>
      <c r="F152" s="78"/>
      <c r="G152" s="78"/>
      <c r="H152" s="78"/>
      <c r="I152" s="78"/>
      <c r="J152" s="79"/>
      <c r="K152" s="91"/>
      <c r="L152" s="91"/>
    </row>
    <row r="153" spans="1:13" ht="18" customHeight="1" x14ac:dyDescent="0.2">
      <c r="A153" s="24" t="s">
        <v>52</v>
      </c>
      <c r="B153" s="51" t="s">
        <v>794</v>
      </c>
      <c r="C153" s="24" t="s">
        <v>529</v>
      </c>
      <c r="D153" s="24" t="s">
        <v>530</v>
      </c>
      <c r="E153" s="43"/>
      <c r="F153" s="218">
        <v>2.7460222910079564</v>
      </c>
      <c r="G153" s="43"/>
      <c r="H153" s="33" t="s">
        <v>693</v>
      </c>
      <c r="I153" s="26" t="s">
        <v>758</v>
      </c>
      <c r="J153" s="44">
        <f>F153</f>
        <v>2.7460222910079564</v>
      </c>
      <c r="K153" s="44">
        <f>J153</f>
        <v>2.7460222910079564</v>
      </c>
      <c r="L153" s="44">
        <f>J153</f>
        <v>2.7460222910079564</v>
      </c>
    </row>
    <row r="154" spans="1:13" ht="18" customHeight="1" x14ac:dyDescent="0.2">
      <c r="A154" s="24" t="s">
        <v>52</v>
      </c>
      <c r="B154" s="51" t="s">
        <v>794</v>
      </c>
      <c r="C154" s="24" t="s">
        <v>531</v>
      </c>
      <c r="D154" s="24" t="s">
        <v>532</v>
      </c>
      <c r="E154" s="43"/>
      <c r="F154" s="218">
        <v>5.2632093910985827E-5</v>
      </c>
      <c r="G154" s="43"/>
      <c r="H154" s="33" t="s">
        <v>693</v>
      </c>
      <c r="I154" s="26" t="s">
        <v>758</v>
      </c>
      <c r="J154" s="44">
        <f t="shared" ref="J154:J155" si="9">F154</f>
        <v>5.2632093910985827E-5</v>
      </c>
      <c r="K154" s="44">
        <f>J154</f>
        <v>5.2632093910985827E-5</v>
      </c>
      <c r="L154" s="44">
        <f>J154</f>
        <v>5.2632093910985827E-5</v>
      </c>
    </row>
    <row r="155" spans="1:13" ht="18" customHeight="1" x14ac:dyDescent="0.2">
      <c r="A155" s="24" t="s">
        <v>52</v>
      </c>
      <c r="B155" s="51" t="s">
        <v>794</v>
      </c>
      <c r="C155" s="24" t="s">
        <v>533</v>
      </c>
      <c r="D155" s="24" t="s">
        <v>534</v>
      </c>
      <c r="E155" s="43"/>
      <c r="F155" s="218">
        <v>5.0343742001812527E-5</v>
      </c>
      <c r="G155" s="43"/>
      <c r="H155" s="33" t="s">
        <v>693</v>
      </c>
      <c r="I155" s="26" t="s">
        <v>758</v>
      </c>
      <c r="J155" s="44">
        <f t="shared" si="9"/>
        <v>5.0343742001812527E-5</v>
      </c>
      <c r="K155" s="44">
        <f>J155</f>
        <v>5.0343742001812527E-5</v>
      </c>
      <c r="L155" s="44">
        <f>J155</f>
        <v>5.0343742001812527E-5</v>
      </c>
    </row>
    <row r="156" spans="1:13" ht="18" customHeight="1" x14ac:dyDescent="0.2">
      <c r="A156" s="24" t="s">
        <v>52</v>
      </c>
      <c r="B156" s="51" t="s">
        <v>794</v>
      </c>
      <c r="C156" s="24" t="s">
        <v>535</v>
      </c>
      <c r="D156" s="24" t="s">
        <v>432</v>
      </c>
      <c r="E156" s="24"/>
      <c r="F156" s="43"/>
      <c r="G156" s="24"/>
      <c r="H156" s="24" t="s">
        <v>20</v>
      </c>
      <c r="I156" s="26" t="s">
        <v>536</v>
      </c>
      <c r="J156" s="29">
        <f>J153 * J141</f>
        <v>346775.54459259531</v>
      </c>
      <c r="K156" s="29">
        <f>K153 * K141</f>
        <v>277420.43567407626</v>
      </c>
      <c r="L156" s="29">
        <f>L153 * L141</f>
        <v>416130.65351111436</v>
      </c>
    </row>
    <row r="157" spans="1:13" ht="18" customHeight="1" x14ac:dyDescent="0.2">
      <c r="A157" s="24" t="s">
        <v>52</v>
      </c>
      <c r="B157" s="51" t="s">
        <v>794</v>
      </c>
      <c r="C157" s="24" t="s">
        <v>537</v>
      </c>
      <c r="D157" s="24" t="s">
        <v>521</v>
      </c>
      <c r="E157" s="24"/>
      <c r="F157" s="43"/>
      <c r="G157" s="24"/>
      <c r="H157" s="24" t="s">
        <v>20</v>
      </c>
      <c r="I157" s="26" t="s">
        <v>538</v>
      </c>
      <c r="J157" s="57">
        <f>J154 * J141</f>
        <v>6.646531271358076</v>
      </c>
      <c r="K157" s="57">
        <f>K154 * K141</f>
        <v>5.3172250170864617</v>
      </c>
      <c r="L157" s="57">
        <f>L154 * L141</f>
        <v>7.9758375256296912</v>
      </c>
    </row>
    <row r="158" spans="1:13" ht="18" customHeight="1" x14ac:dyDescent="0.2">
      <c r="A158" s="24" t="s">
        <v>52</v>
      </c>
      <c r="B158" s="51" t="s">
        <v>794</v>
      </c>
      <c r="C158" s="24" t="s">
        <v>539</v>
      </c>
      <c r="D158" s="24" t="s">
        <v>524</v>
      </c>
      <c r="E158" s="24"/>
      <c r="F158" s="43"/>
      <c r="G158" s="24"/>
      <c r="H158" s="24" t="s">
        <v>20</v>
      </c>
      <c r="I158" s="26" t="s">
        <v>540</v>
      </c>
      <c r="J158" s="57">
        <f>J155 * J141</f>
        <v>6.357551650864246</v>
      </c>
      <c r="K158" s="57">
        <f>K155 * K141</f>
        <v>5.0860413206913977</v>
      </c>
      <c r="L158" s="57">
        <f>L155 * L141</f>
        <v>7.6290619810370952</v>
      </c>
    </row>
    <row r="159" spans="1:13" ht="18" customHeight="1" x14ac:dyDescent="0.2">
      <c r="A159" s="24" t="s">
        <v>52</v>
      </c>
      <c r="B159" s="51" t="s">
        <v>794</v>
      </c>
      <c r="C159" s="24" t="s">
        <v>537</v>
      </c>
      <c r="D159" s="24" t="s">
        <v>421</v>
      </c>
      <c r="E159" s="24"/>
      <c r="F159" s="43"/>
      <c r="G159" s="24"/>
      <c r="H159" s="24" t="s">
        <v>20</v>
      </c>
      <c r="I159" s="26" t="s">
        <v>526</v>
      </c>
      <c r="J159" s="30">
        <f>J157 * '5. Unit Conversions'!D15</f>
        <v>225.98206322617457</v>
      </c>
      <c r="K159" s="30">
        <f>K157 * '5. Unit Conversions'!D15</f>
        <v>180.78565058093969</v>
      </c>
      <c r="L159" s="30">
        <f>L157 * '5. Unit Conversions'!D15</f>
        <v>271.17847587140949</v>
      </c>
    </row>
    <row r="160" spans="1:13" ht="18" customHeight="1" x14ac:dyDescent="0.2">
      <c r="A160" s="24" t="s">
        <v>52</v>
      </c>
      <c r="B160" s="51" t="s">
        <v>794</v>
      </c>
      <c r="C160" s="24" t="s">
        <v>541</v>
      </c>
      <c r="D160" s="24" t="s">
        <v>421</v>
      </c>
      <c r="E160" s="24"/>
      <c r="F160" s="43"/>
      <c r="G160" s="24"/>
      <c r="H160" s="24" t="s">
        <v>20</v>
      </c>
      <c r="I160" s="26" t="s">
        <v>527</v>
      </c>
      <c r="J160" s="29">
        <f>J158 * '5. Unit Conversions'!D16</f>
        <v>1894.5503919575453</v>
      </c>
      <c r="K160" s="29">
        <f>K158 * '5. Unit Conversions'!D16</f>
        <v>1515.6403135660364</v>
      </c>
      <c r="L160" s="29">
        <f>L158 * '5. Unit Conversions'!D16</f>
        <v>2273.4604703490545</v>
      </c>
    </row>
    <row r="161" spans="1:13" ht="18" customHeight="1" x14ac:dyDescent="0.2">
      <c r="A161" s="24" t="s">
        <v>52</v>
      </c>
      <c r="B161" s="51" t="s">
        <v>794</v>
      </c>
      <c r="C161" s="24" t="s">
        <v>493</v>
      </c>
      <c r="D161" s="24" t="s">
        <v>421</v>
      </c>
      <c r="E161" s="24"/>
      <c r="F161" s="43"/>
      <c r="G161" s="24"/>
      <c r="H161" s="24" t="s">
        <v>20</v>
      </c>
      <c r="I161" s="26" t="s">
        <v>528</v>
      </c>
      <c r="J161" s="29">
        <f>J156 + J159 + J160</f>
        <v>348896.07704777905</v>
      </c>
      <c r="K161" s="29">
        <f>K156 + K159 + K160</f>
        <v>279116.86163822323</v>
      </c>
      <c r="L161" s="29">
        <f>L156 + L159 + L160</f>
        <v>418675.29245733481</v>
      </c>
    </row>
    <row r="162" spans="1:13" ht="18" customHeight="1" x14ac:dyDescent="0.2">
      <c r="A162" s="24" t="s">
        <v>52</v>
      </c>
      <c r="B162" s="51" t="s">
        <v>794</v>
      </c>
      <c r="C162" s="24" t="s">
        <v>494</v>
      </c>
      <c r="D162" s="24" t="s">
        <v>423</v>
      </c>
      <c r="E162" s="24"/>
      <c r="F162" s="43"/>
      <c r="G162" s="24"/>
      <c r="H162" s="24" t="s">
        <v>20</v>
      </c>
      <c r="I162" s="26" t="s">
        <v>424</v>
      </c>
      <c r="J162" s="27">
        <f>J161 / J50</f>
        <v>1.1552850233370167</v>
      </c>
      <c r="K162" s="27">
        <f>K161 / K50</f>
        <v>0.92422801866961335</v>
      </c>
      <c r="L162" s="27">
        <f>L161 / L50</f>
        <v>1.3863420280044199</v>
      </c>
      <c r="M162" s="18" t="s">
        <v>338</v>
      </c>
    </row>
    <row r="163" spans="1:13" ht="18" customHeight="1" x14ac:dyDescent="0.2">
      <c r="A163" s="77" t="s">
        <v>219</v>
      </c>
      <c r="B163" s="78"/>
      <c r="C163" s="78"/>
      <c r="D163" s="78"/>
      <c r="E163" s="78"/>
      <c r="F163" s="78"/>
      <c r="G163" s="78"/>
      <c r="H163" s="78"/>
      <c r="I163" s="78"/>
      <c r="J163" s="79"/>
      <c r="K163" s="91"/>
      <c r="L163" s="91"/>
    </row>
    <row r="164" spans="1:13" ht="18" customHeight="1" x14ac:dyDescent="0.2">
      <c r="A164" s="24" t="s">
        <v>52</v>
      </c>
      <c r="B164" s="51" t="s">
        <v>795</v>
      </c>
      <c r="C164" s="24" t="s">
        <v>196</v>
      </c>
      <c r="D164" s="24" t="s">
        <v>199</v>
      </c>
      <c r="E164" s="218">
        <v>1.1892106493561186E-3</v>
      </c>
      <c r="F164" s="218">
        <v>1.2420887875234374E-3</v>
      </c>
      <c r="G164" s="218">
        <v>1.2652980777893713E-3</v>
      </c>
      <c r="H164" s="33" t="s">
        <v>693</v>
      </c>
      <c r="I164" s="26" t="s">
        <v>834</v>
      </c>
      <c r="J164" s="44">
        <f>F164</f>
        <v>1.2420887875234374E-3</v>
      </c>
      <c r="K164" s="44">
        <f>E164</f>
        <v>1.1892106493561186E-3</v>
      </c>
      <c r="L164" s="44">
        <f>G164</f>
        <v>1.2652980777893713E-3</v>
      </c>
    </row>
    <row r="165" spans="1:13" ht="18" customHeight="1" x14ac:dyDescent="0.2">
      <c r="A165" s="24" t="s">
        <v>52</v>
      </c>
      <c r="B165" s="51" t="s">
        <v>795</v>
      </c>
      <c r="C165" s="24" t="s">
        <v>220</v>
      </c>
      <c r="D165" s="24" t="s">
        <v>201</v>
      </c>
      <c r="E165" s="24"/>
      <c r="F165" s="43"/>
      <c r="G165" s="24"/>
      <c r="H165" s="24" t="s">
        <v>20</v>
      </c>
      <c r="I165" s="26" t="s">
        <v>222</v>
      </c>
      <c r="J165" s="29">
        <f>J164 * J52</f>
        <v>50683.230963593247</v>
      </c>
      <c r="K165" s="29">
        <f>K164 * K52</f>
        <v>48525.547135690205</v>
      </c>
      <c r="L165" s="29">
        <f>L164 * L52</f>
        <v>51630.28227817345</v>
      </c>
    </row>
    <row r="166" spans="1:13" ht="18" customHeight="1" x14ac:dyDescent="0.2">
      <c r="A166" s="24" t="s">
        <v>52</v>
      </c>
      <c r="B166" s="51" t="s">
        <v>795</v>
      </c>
      <c r="C166" s="24" t="s">
        <v>197</v>
      </c>
      <c r="D166" s="24" t="s">
        <v>75</v>
      </c>
      <c r="E166" s="24"/>
      <c r="F166" s="209">
        <v>0.95</v>
      </c>
      <c r="G166" s="24"/>
      <c r="H166" s="33" t="s">
        <v>693</v>
      </c>
      <c r="I166" s="26" t="s">
        <v>759</v>
      </c>
      <c r="J166" s="58">
        <f>F166</f>
        <v>0.95</v>
      </c>
      <c r="K166" s="58">
        <f>J166</f>
        <v>0.95</v>
      </c>
      <c r="L166" s="58">
        <f>J166</f>
        <v>0.95</v>
      </c>
    </row>
    <row r="167" spans="1:13" ht="18" customHeight="1" x14ac:dyDescent="0.2">
      <c r="A167" s="24" t="s">
        <v>52</v>
      </c>
      <c r="B167" s="51" t="s">
        <v>795</v>
      </c>
      <c r="C167" s="24" t="s">
        <v>221</v>
      </c>
      <c r="D167" s="24" t="s">
        <v>201</v>
      </c>
      <c r="E167" s="24"/>
      <c r="F167" s="43"/>
      <c r="G167" s="24"/>
      <c r="H167" s="24" t="s">
        <v>20</v>
      </c>
      <c r="I167" s="26" t="s">
        <v>223</v>
      </c>
      <c r="J167" s="29">
        <f>J165 * J166</f>
        <v>48149.069415413585</v>
      </c>
      <c r="K167" s="29">
        <f>K165 * K166</f>
        <v>46099.269778905691</v>
      </c>
      <c r="L167" s="29">
        <f>L165 * L166</f>
        <v>49048.768164264773</v>
      </c>
    </row>
    <row r="168" spans="1:13" ht="18" customHeight="1" x14ac:dyDescent="0.2">
      <c r="A168" s="24" t="s">
        <v>52</v>
      </c>
      <c r="B168" s="51" t="s">
        <v>795</v>
      </c>
      <c r="C168" s="24" t="s">
        <v>198</v>
      </c>
      <c r="D168" s="24" t="s">
        <v>75</v>
      </c>
      <c r="E168" s="24"/>
      <c r="F168" s="219">
        <v>0.99</v>
      </c>
      <c r="G168" s="24"/>
      <c r="H168" s="33" t="s">
        <v>693</v>
      </c>
      <c r="I168" s="26" t="s">
        <v>759</v>
      </c>
      <c r="J168" s="58">
        <f>F168</f>
        <v>0.99</v>
      </c>
      <c r="K168" s="58">
        <f>J168</f>
        <v>0.99</v>
      </c>
      <c r="L168" s="58">
        <f>J168</f>
        <v>0.99</v>
      </c>
    </row>
    <row r="169" spans="1:13" ht="18" customHeight="1" x14ac:dyDescent="0.2">
      <c r="A169" s="24" t="s">
        <v>52</v>
      </c>
      <c r="B169" s="51" t="s">
        <v>795</v>
      </c>
      <c r="C169" s="24" t="s">
        <v>542</v>
      </c>
      <c r="D169" s="24" t="s">
        <v>509</v>
      </c>
      <c r="E169" s="24"/>
      <c r="F169" s="41"/>
      <c r="G169" s="24"/>
      <c r="H169" s="24" t="s">
        <v>20</v>
      </c>
      <c r="I169" s="26" t="s">
        <v>510</v>
      </c>
      <c r="J169" s="42">
        <f>J168 * (44 / 12) * (60 / 72)</f>
        <v>3.0249999999999999</v>
      </c>
      <c r="K169" s="42">
        <f t="shared" ref="K169:L169" si="10">K168 * (44 / 12) * (60 / 72)</f>
        <v>3.0249999999999999</v>
      </c>
      <c r="L169" s="42">
        <f t="shared" si="10"/>
        <v>3.0249999999999999</v>
      </c>
    </row>
    <row r="170" spans="1:13" ht="18" customHeight="1" x14ac:dyDescent="0.2">
      <c r="A170" s="24" t="s">
        <v>52</v>
      </c>
      <c r="B170" s="51" t="s">
        <v>795</v>
      </c>
      <c r="C170" s="24" t="s">
        <v>543</v>
      </c>
      <c r="D170" s="24" t="s">
        <v>432</v>
      </c>
      <c r="E170" s="24"/>
      <c r="F170" s="43"/>
      <c r="G170" s="24"/>
      <c r="H170" s="24" t="s">
        <v>20</v>
      </c>
      <c r="I170" s="26" t="s">
        <v>544</v>
      </c>
      <c r="J170" s="29">
        <f>J167 * J169 * J168</f>
        <v>144194.42563180981</v>
      </c>
      <c r="K170" s="29">
        <f>K167 * K169 * K168</f>
        <v>138055.78817037781</v>
      </c>
      <c r="L170" s="29">
        <f>L167 * L169 * L168</f>
        <v>146888.79845993192</v>
      </c>
    </row>
    <row r="171" spans="1:13" ht="18" customHeight="1" x14ac:dyDescent="0.2">
      <c r="A171" s="24" t="s">
        <v>52</v>
      </c>
      <c r="B171" s="51" t="s">
        <v>795</v>
      </c>
      <c r="C171" s="24" t="s">
        <v>224</v>
      </c>
      <c r="D171" s="24" t="s">
        <v>435</v>
      </c>
      <c r="E171" s="24"/>
      <c r="F171" s="43"/>
      <c r="G171" s="24"/>
      <c r="H171" s="24" t="s">
        <v>20</v>
      </c>
      <c r="I171" s="26" t="s">
        <v>424</v>
      </c>
      <c r="J171" s="30">
        <f>J170 / J50</f>
        <v>0.47746498553579408</v>
      </c>
      <c r="K171" s="30">
        <f>K170 / K50</f>
        <v>0.45713837142509212</v>
      </c>
      <c r="L171" s="30">
        <f>L170 / L50</f>
        <v>0.48638674986732422</v>
      </c>
      <c r="M171" s="18" t="s">
        <v>338</v>
      </c>
    </row>
    <row r="172" spans="1:13" ht="18" customHeight="1" x14ac:dyDescent="0.2">
      <c r="A172" s="77" t="s">
        <v>803</v>
      </c>
      <c r="B172" s="78"/>
      <c r="C172" s="78"/>
      <c r="D172" s="78"/>
      <c r="E172" s="78"/>
      <c r="F172" s="78"/>
      <c r="G172" s="78"/>
      <c r="H172" s="78"/>
      <c r="I172" s="78"/>
      <c r="J172" s="79"/>
      <c r="K172" s="91"/>
      <c r="L172" s="91"/>
    </row>
    <row r="173" spans="1:13" ht="18" customHeight="1" x14ac:dyDescent="0.2">
      <c r="A173" s="24" t="s">
        <v>52</v>
      </c>
      <c r="B173" s="51" t="s">
        <v>796</v>
      </c>
      <c r="C173" s="24" t="s">
        <v>234</v>
      </c>
      <c r="D173" s="24" t="s">
        <v>49</v>
      </c>
      <c r="E173" s="24"/>
      <c r="F173" s="43"/>
      <c r="G173" s="24"/>
      <c r="H173" s="24" t="s">
        <v>20</v>
      </c>
      <c r="I173" s="26" t="s">
        <v>225</v>
      </c>
      <c r="J173" s="29">
        <f>J77 - J78</f>
        <v>77505531.995743752</v>
      </c>
      <c r="K173" s="29">
        <f>K77 - K78</f>
        <v>95094279.655731916</v>
      </c>
      <c r="L173" s="29">
        <f>L77 - L78</f>
        <v>40511995.157163143</v>
      </c>
    </row>
    <row r="174" spans="1:13" ht="18" customHeight="1" x14ac:dyDescent="0.2">
      <c r="A174" s="24" t="s">
        <v>52</v>
      </c>
      <c r="B174" s="51" t="s">
        <v>796</v>
      </c>
      <c r="C174" s="24" t="s">
        <v>226</v>
      </c>
      <c r="D174" s="24" t="s">
        <v>545</v>
      </c>
      <c r="E174" s="24"/>
      <c r="F174" s="218">
        <v>1.5E-3</v>
      </c>
      <c r="G174" s="24"/>
      <c r="H174" s="33" t="s">
        <v>693</v>
      </c>
      <c r="I174" s="26" t="s">
        <v>760</v>
      </c>
      <c r="J174" s="44">
        <f>F174</f>
        <v>1.5E-3</v>
      </c>
      <c r="K174" s="44">
        <f>J174</f>
        <v>1.5E-3</v>
      </c>
      <c r="L174" s="44">
        <f>J174</f>
        <v>1.5E-3</v>
      </c>
    </row>
    <row r="175" spans="1:13" ht="18" customHeight="1" x14ac:dyDescent="0.2">
      <c r="A175" s="24" t="s">
        <v>52</v>
      </c>
      <c r="B175" s="51" t="s">
        <v>796</v>
      </c>
      <c r="C175" s="24" t="s">
        <v>236</v>
      </c>
      <c r="D175" s="24" t="s">
        <v>227</v>
      </c>
      <c r="E175" s="24"/>
      <c r="F175" s="214">
        <v>10000</v>
      </c>
      <c r="G175" s="24"/>
      <c r="H175" s="33" t="s">
        <v>693</v>
      </c>
      <c r="I175" s="26" t="s">
        <v>760</v>
      </c>
      <c r="J175" s="29">
        <f>F175</f>
        <v>10000</v>
      </c>
      <c r="K175" s="29">
        <f>J175</f>
        <v>10000</v>
      </c>
      <c r="L175" s="29">
        <f>J175</f>
        <v>10000</v>
      </c>
    </row>
    <row r="176" spans="1:13" ht="18" customHeight="1" x14ac:dyDescent="0.2">
      <c r="A176" s="24" t="s">
        <v>52</v>
      </c>
      <c r="B176" s="51" t="s">
        <v>796</v>
      </c>
      <c r="C176" s="24" t="s">
        <v>228</v>
      </c>
      <c r="D176" s="24" t="s">
        <v>546</v>
      </c>
      <c r="E176" s="24"/>
      <c r="F176" s="43"/>
      <c r="G176" s="24"/>
      <c r="H176" s="24" t="s">
        <v>20</v>
      </c>
      <c r="I176" s="26" t="s">
        <v>235</v>
      </c>
      <c r="J176" s="29">
        <f>(1 + (J175 * 0.695 * 0.000001)) * 1000</f>
        <v>1006.95</v>
      </c>
      <c r="K176" s="29">
        <f>(1 + (K175 * 0.695 * 0.000001)) * 1000</f>
        <v>1006.95</v>
      </c>
      <c r="L176" s="29">
        <f>(1 + (L175 * 0.695 * 0.000001)) * 1000</f>
        <v>1006.95</v>
      </c>
    </row>
    <row r="177" spans="1:13" ht="18" customHeight="1" x14ac:dyDescent="0.2">
      <c r="A177" s="24" t="s">
        <v>52</v>
      </c>
      <c r="B177" s="51" t="s">
        <v>796</v>
      </c>
      <c r="C177" s="24" t="s">
        <v>228</v>
      </c>
      <c r="D177" s="24" t="s">
        <v>92</v>
      </c>
      <c r="E177" s="24"/>
      <c r="F177" s="43"/>
      <c r="G177" s="24"/>
      <c r="H177" s="24" t="s">
        <v>20</v>
      </c>
      <c r="I177" s="26" t="s">
        <v>547</v>
      </c>
      <c r="J177" s="29">
        <f>J176 * '5. Unit Conversions'!D8</f>
        <v>160.0922883575852</v>
      </c>
      <c r="K177" s="29">
        <f>K176 * '5. Unit Conversions'!D8</f>
        <v>160.0922883575852</v>
      </c>
      <c r="L177" s="29">
        <f>L176 * '5. Unit Conversions'!D8</f>
        <v>160.0922883575852</v>
      </c>
    </row>
    <row r="178" spans="1:13" ht="18" customHeight="1" x14ac:dyDescent="0.2">
      <c r="A178" s="24" t="s">
        <v>52</v>
      </c>
      <c r="B178" s="51" t="s">
        <v>796</v>
      </c>
      <c r="C178" s="24" t="s">
        <v>231</v>
      </c>
      <c r="D178" s="24" t="s">
        <v>59</v>
      </c>
      <c r="E178" s="24"/>
      <c r="F178" s="43"/>
      <c r="G178" s="24"/>
      <c r="H178" s="24" t="s">
        <v>20</v>
      </c>
      <c r="I178" s="26" t="s">
        <v>258</v>
      </c>
      <c r="J178" s="29">
        <f>J173 / J177</f>
        <v>484130.32751849928</v>
      </c>
      <c r="K178" s="29">
        <f>K173 / K177</f>
        <v>593996.6292650369</v>
      </c>
      <c r="L178" s="29">
        <f>L173 / L177</f>
        <v>253054.00761512492</v>
      </c>
    </row>
    <row r="179" spans="1:13" ht="18" customHeight="1" x14ac:dyDescent="0.2">
      <c r="A179" s="24" t="s">
        <v>52</v>
      </c>
      <c r="B179" s="51" t="s">
        <v>796</v>
      </c>
      <c r="C179" s="24" t="s">
        <v>229</v>
      </c>
      <c r="D179" s="24" t="s">
        <v>75</v>
      </c>
      <c r="E179" s="24"/>
      <c r="F179" s="209">
        <v>1</v>
      </c>
      <c r="G179" s="24"/>
      <c r="H179" s="33" t="s">
        <v>693</v>
      </c>
      <c r="I179" s="26" t="s">
        <v>251</v>
      </c>
      <c r="J179" s="58">
        <f>F179</f>
        <v>1</v>
      </c>
      <c r="K179" s="58">
        <f>J179</f>
        <v>1</v>
      </c>
      <c r="L179" s="58">
        <f>J179</f>
        <v>1</v>
      </c>
    </row>
    <row r="180" spans="1:13" ht="18" customHeight="1" x14ac:dyDescent="0.2">
      <c r="A180" s="24" t="s">
        <v>52</v>
      </c>
      <c r="B180" s="51" t="s">
        <v>796</v>
      </c>
      <c r="C180" s="24" t="s">
        <v>230</v>
      </c>
      <c r="D180" s="24" t="s">
        <v>521</v>
      </c>
      <c r="E180" s="24"/>
      <c r="F180" s="43"/>
      <c r="G180" s="24"/>
      <c r="H180" s="24" t="s">
        <v>20</v>
      </c>
      <c r="I180" s="26" t="s">
        <v>233</v>
      </c>
      <c r="J180" s="29">
        <f>J174 * J178 * J179</f>
        <v>726.19549127774894</v>
      </c>
      <c r="K180" s="29">
        <f>K174 * K178 * K179</f>
        <v>890.99494389755534</v>
      </c>
      <c r="L180" s="29">
        <f>L174 * L178 * L179</f>
        <v>379.58101142268737</v>
      </c>
    </row>
    <row r="181" spans="1:13" ht="18" customHeight="1" x14ac:dyDescent="0.2">
      <c r="A181" s="24" t="s">
        <v>52</v>
      </c>
      <c r="B181" s="51" t="s">
        <v>796</v>
      </c>
      <c r="C181" s="24" t="s">
        <v>230</v>
      </c>
      <c r="D181" s="24" t="s">
        <v>421</v>
      </c>
      <c r="E181" s="24"/>
      <c r="F181" s="43"/>
      <c r="G181" s="24"/>
      <c r="H181" s="24" t="s">
        <v>20</v>
      </c>
      <c r="I181" s="26" t="s">
        <v>526</v>
      </c>
      <c r="J181" s="29">
        <f>J180 * '5. Unit Conversions'!D15</f>
        <v>24690.646703443465</v>
      </c>
      <c r="K181" s="29">
        <f>K180 * '5. Unit Conversions'!D15</f>
        <v>30293.82809251688</v>
      </c>
      <c r="L181" s="29">
        <f>L180 * '5. Unit Conversions'!D15</f>
        <v>12905.75438837137</v>
      </c>
    </row>
    <row r="182" spans="1:13" ht="18" customHeight="1" x14ac:dyDescent="0.2">
      <c r="A182" s="24" t="s">
        <v>52</v>
      </c>
      <c r="B182" s="51" t="s">
        <v>796</v>
      </c>
      <c r="C182" s="24" t="s">
        <v>494</v>
      </c>
      <c r="D182" s="24" t="s">
        <v>423</v>
      </c>
      <c r="E182" s="24"/>
      <c r="F182" s="43"/>
      <c r="G182" s="24"/>
      <c r="H182" s="24" t="s">
        <v>20</v>
      </c>
      <c r="I182" s="26" t="s">
        <v>424</v>
      </c>
      <c r="J182" s="27">
        <f>J181 / J50</f>
        <v>8.1757108289547895E-2</v>
      </c>
      <c r="K182" s="27">
        <f>K181 / K50</f>
        <v>0.10031068904806914</v>
      </c>
      <c r="L182" s="27">
        <f>L181 / L50</f>
        <v>4.2734286054209834E-2</v>
      </c>
      <c r="M182" s="18" t="s">
        <v>338</v>
      </c>
    </row>
    <row r="183" spans="1:13" ht="18" customHeight="1" x14ac:dyDescent="0.2">
      <c r="A183" s="77" t="s">
        <v>804</v>
      </c>
      <c r="B183" s="78"/>
      <c r="C183" s="78"/>
      <c r="D183" s="78"/>
      <c r="E183" s="78"/>
      <c r="F183" s="78"/>
      <c r="G183" s="78"/>
      <c r="H183" s="78"/>
      <c r="I183" s="78"/>
      <c r="J183" s="79"/>
      <c r="K183" s="91"/>
      <c r="L183" s="91"/>
    </row>
    <row r="184" spans="1:13" ht="18" customHeight="1" x14ac:dyDescent="0.2">
      <c r="A184" s="24" t="s">
        <v>52</v>
      </c>
      <c r="B184" s="51" t="s">
        <v>797</v>
      </c>
      <c r="C184" s="24" t="s">
        <v>237</v>
      </c>
      <c r="D184" s="24" t="s">
        <v>238</v>
      </c>
      <c r="E184" s="24"/>
      <c r="F184" s="218">
        <v>3.2998797952031441E-3</v>
      </c>
      <c r="G184" s="24"/>
      <c r="H184" s="33" t="s">
        <v>693</v>
      </c>
      <c r="I184" s="26" t="s">
        <v>835</v>
      </c>
      <c r="J184" s="44">
        <f>F184</f>
        <v>3.2998797952031441E-3</v>
      </c>
      <c r="K184" s="44">
        <f>J184</f>
        <v>3.2998797952031441E-3</v>
      </c>
      <c r="L184" s="44">
        <f>J184</f>
        <v>3.2998797952031441E-3</v>
      </c>
    </row>
    <row r="185" spans="1:13" ht="18" customHeight="1" x14ac:dyDescent="0.2">
      <c r="A185" s="24" t="s">
        <v>52</v>
      </c>
      <c r="B185" s="51" t="s">
        <v>797</v>
      </c>
      <c r="C185" s="24" t="s">
        <v>60</v>
      </c>
      <c r="D185" s="24" t="s">
        <v>100</v>
      </c>
      <c r="E185" s="24"/>
      <c r="F185" s="43"/>
      <c r="G185" s="24"/>
      <c r="H185" s="24" t="s">
        <v>20</v>
      </c>
      <c r="I185" s="26" t="s">
        <v>259</v>
      </c>
      <c r="J185" s="29">
        <f>J184 * J173</f>
        <v>255758.93904922562</v>
      </c>
      <c r="K185" s="29">
        <f>K184 * K173</f>
        <v>313799.69207534718</v>
      </c>
      <c r="L185" s="29">
        <f>L184 * L173</f>
        <v>133684.71428249028</v>
      </c>
    </row>
    <row r="186" spans="1:13" ht="18" customHeight="1" x14ac:dyDescent="0.2">
      <c r="A186" s="24" t="s">
        <v>52</v>
      </c>
      <c r="B186" s="51" t="s">
        <v>797</v>
      </c>
      <c r="C186" s="24" t="s">
        <v>60</v>
      </c>
      <c r="D186" s="24" t="s">
        <v>102</v>
      </c>
      <c r="E186" s="24"/>
      <c r="F186" s="43"/>
      <c r="G186" s="24"/>
      <c r="H186" s="24" t="s">
        <v>20</v>
      </c>
      <c r="I186" s="26" t="s">
        <v>103</v>
      </c>
      <c r="J186" s="29">
        <f>J185 / 1000</f>
        <v>255.75893904922563</v>
      </c>
      <c r="K186" s="29">
        <f>K185 / 1000</f>
        <v>313.7996920753472</v>
      </c>
      <c r="L186" s="29">
        <f>L185 / 1000</f>
        <v>133.68471428249029</v>
      </c>
    </row>
    <row r="187" spans="1:13" ht="18" customHeight="1" x14ac:dyDescent="0.2">
      <c r="A187" s="24" t="s">
        <v>52</v>
      </c>
      <c r="B187" s="51" t="s">
        <v>797</v>
      </c>
      <c r="C187" s="24" t="s">
        <v>548</v>
      </c>
      <c r="D187" s="24" t="s">
        <v>432</v>
      </c>
      <c r="E187" s="24"/>
      <c r="F187" s="43"/>
      <c r="G187" s="24"/>
      <c r="H187" s="24" t="s">
        <v>20</v>
      </c>
      <c r="I187" s="26" t="s">
        <v>185</v>
      </c>
      <c r="J187" s="29">
        <f>J186 * J31</f>
        <v>168800.89977248892</v>
      </c>
      <c r="K187" s="29">
        <f>K186 * K31</f>
        <v>207107.79676972915</v>
      </c>
      <c r="L187" s="29">
        <f>L186 * L31</f>
        <v>88231.911426443592</v>
      </c>
    </row>
    <row r="188" spans="1:13" ht="18" customHeight="1" x14ac:dyDescent="0.2">
      <c r="A188" s="24" t="s">
        <v>52</v>
      </c>
      <c r="B188" s="51" t="s">
        <v>797</v>
      </c>
      <c r="C188" s="24" t="s">
        <v>549</v>
      </c>
      <c r="D188" s="24" t="s">
        <v>435</v>
      </c>
      <c r="E188" s="24"/>
      <c r="F188" s="43"/>
      <c r="G188" s="24"/>
      <c r="H188" s="24" t="s">
        <v>20</v>
      </c>
      <c r="I188" s="26" t="s">
        <v>424</v>
      </c>
      <c r="J188" s="30">
        <f>J187 / J50</f>
        <v>0.55894337673009575</v>
      </c>
      <c r="K188" s="30">
        <f>K187 / K50</f>
        <v>0.68578740652228198</v>
      </c>
      <c r="L188" s="30">
        <f>L187 / L50</f>
        <v>0.29215864710742911</v>
      </c>
      <c r="M188" s="18" t="s">
        <v>338</v>
      </c>
    </row>
    <row r="189" spans="1:13" ht="18" customHeight="1" x14ac:dyDescent="0.2">
      <c r="A189" s="77" t="s">
        <v>260</v>
      </c>
      <c r="B189" s="78"/>
      <c r="C189" s="78"/>
      <c r="D189" s="78"/>
      <c r="E189" s="78"/>
      <c r="F189" s="78"/>
      <c r="G189" s="78"/>
      <c r="H189" s="78"/>
      <c r="I189" s="78"/>
      <c r="J189" s="79"/>
      <c r="K189" s="91"/>
      <c r="L189" s="91"/>
    </row>
    <row r="190" spans="1:13" ht="18" customHeight="1" x14ac:dyDescent="0.2">
      <c r="A190" s="24" t="s">
        <v>52</v>
      </c>
      <c r="B190" s="51" t="s">
        <v>805</v>
      </c>
      <c r="C190" s="24" t="s">
        <v>550</v>
      </c>
      <c r="D190" s="24" t="s">
        <v>432</v>
      </c>
      <c r="E190" s="24"/>
      <c r="F190" s="43"/>
      <c r="G190" s="24"/>
      <c r="H190" s="24" t="s">
        <v>20</v>
      </c>
      <c r="I190" s="26" t="s">
        <v>551</v>
      </c>
      <c r="J190" s="29">
        <f>J62</f>
        <v>138057142.8571429</v>
      </c>
      <c r="K190" s="29">
        <f>K62</f>
        <v>74853059.499615967</v>
      </c>
      <c r="L190" s="29">
        <f>L62</f>
        <v>216969532.46218061</v>
      </c>
    </row>
    <row r="191" spans="1:13" ht="18" customHeight="1" x14ac:dyDescent="0.2">
      <c r="A191" s="24" t="s">
        <v>52</v>
      </c>
      <c r="B191" s="51" t="s">
        <v>806</v>
      </c>
      <c r="C191" s="24" t="s">
        <v>288</v>
      </c>
      <c r="D191" s="24" t="s">
        <v>552</v>
      </c>
      <c r="E191" s="24"/>
      <c r="F191" s="218">
        <v>9.4968348156644275E-3</v>
      </c>
      <c r="G191" s="24"/>
      <c r="H191" s="33" t="s">
        <v>693</v>
      </c>
      <c r="I191" s="26" t="s">
        <v>761</v>
      </c>
      <c r="J191" s="44">
        <f>F191</f>
        <v>9.4968348156644275E-3</v>
      </c>
      <c r="K191" s="44">
        <f>J191</f>
        <v>9.4968348156644275E-3</v>
      </c>
      <c r="L191" s="44">
        <f>J191</f>
        <v>9.4968348156644275E-3</v>
      </c>
    </row>
    <row r="192" spans="1:13" ht="18" customHeight="1" x14ac:dyDescent="0.2">
      <c r="A192" s="24" t="s">
        <v>52</v>
      </c>
      <c r="B192" s="51" t="s">
        <v>806</v>
      </c>
      <c r="C192" s="24" t="s">
        <v>289</v>
      </c>
      <c r="D192" s="24" t="s">
        <v>262</v>
      </c>
      <c r="E192" s="24"/>
      <c r="F192" s="38"/>
      <c r="G192" s="24"/>
      <c r="H192" s="24" t="s">
        <v>20</v>
      </c>
      <c r="I192" s="26" t="s">
        <v>553</v>
      </c>
      <c r="J192" s="29">
        <f>J191 * J190</f>
        <v>1311105.8808368722</v>
      </c>
      <c r="K192" s="29">
        <f>K191 * K190</f>
        <v>710867.14151495381</v>
      </c>
      <c r="L192" s="29">
        <f>L191 * L190</f>
        <v>2060523.80982527</v>
      </c>
    </row>
    <row r="193" spans="1:13" ht="18" customHeight="1" x14ac:dyDescent="0.2">
      <c r="A193" s="24" t="s">
        <v>52</v>
      </c>
      <c r="B193" s="51" t="s">
        <v>806</v>
      </c>
      <c r="C193" s="24" t="s">
        <v>263</v>
      </c>
      <c r="D193" s="24" t="s">
        <v>292</v>
      </c>
      <c r="E193" s="24"/>
      <c r="F193" s="217">
        <v>39.020000000000003</v>
      </c>
      <c r="G193" s="24"/>
      <c r="H193" s="33" t="s">
        <v>693</v>
      </c>
      <c r="I193" s="26" t="s">
        <v>762</v>
      </c>
      <c r="J193" s="27">
        <f>F193</f>
        <v>39.020000000000003</v>
      </c>
      <c r="K193" s="27">
        <f>J193</f>
        <v>39.020000000000003</v>
      </c>
      <c r="L193" s="27">
        <f>J193</f>
        <v>39.020000000000003</v>
      </c>
    </row>
    <row r="194" spans="1:13" ht="18" customHeight="1" x14ac:dyDescent="0.2">
      <c r="A194" s="24" t="s">
        <v>52</v>
      </c>
      <c r="B194" s="51" t="s">
        <v>806</v>
      </c>
      <c r="C194" s="24" t="s">
        <v>265</v>
      </c>
      <c r="D194" s="24" t="s">
        <v>293</v>
      </c>
      <c r="E194" s="24"/>
      <c r="F194" s="218">
        <f>1 / F193</f>
        <v>2.5627883136852894E-2</v>
      </c>
      <c r="G194" s="24"/>
      <c r="H194" s="33" t="s">
        <v>693</v>
      </c>
      <c r="I194" s="26" t="s">
        <v>762</v>
      </c>
      <c r="J194" s="44">
        <f>F194</f>
        <v>2.5627883136852894E-2</v>
      </c>
      <c r="K194" s="44">
        <f>J194</f>
        <v>2.5627883136852894E-2</v>
      </c>
      <c r="L194" s="44">
        <f>J194</f>
        <v>2.5627883136852894E-2</v>
      </c>
    </row>
    <row r="195" spans="1:13" ht="18" customHeight="1" x14ac:dyDescent="0.2">
      <c r="A195" s="24" t="s">
        <v>52</v>
      </c>
      <c r="B195" s="51" t="s">
        <v>806</v>
      </c>
      <c r="C195" s="24" t="s">
        <v>261</v>
      </c>
      <c r="D195" s="24" t="s">
        <v>294</v>
      </c>
      <c r="E195" s="24"/>
      <c r="F195" s="43"/>
      <c r="G195" s="24"/>
      <c r="H195" s="24" t="s">
        <v>20</v>
      </c>
      <c r="I195" s="26" t="s">
        <v>264</v>
      </c>
      <c r="J195" s="29">
        <f>J194 * J192</f>
        <v>33600.868294127933</v>
      </c>
      <c r="K195" s="29">
        <f>K194 * K192</f>
        <v>18218.020028573905</v>
      </c>
      <c r="L195" s="29">
        <f>L194 * L192</f>
        <v>52806.863398904919</v>
      </c>
    </row>
    <row r="196" spans="1:13" ht="18" customHeight="1" x14ac:dyDescent="0.2">
      <c r="A196" s="24" t="s">
        <v>52</v>
      </c>
      <c r="B196" s="51" t="s">
        <v>807</v>
      </c>
      <c r="C196" s="24" t="s">
        <v>267</v>
      </c>
      <c r="D196" s="24" t="s">
        <v>291</v>
      </c>
      <c r="E196" s="24"/>
      <c r="F196" s="218">
        <v>0.84314188391622547</v>
      </c>
      <c r="G196" s="24"/>
      <c r="H196" s="33" t="s">
        <v>693</v>
      </c>
      <c r="I196" s="26" t="s">
        <v>762</v>
      </c>
      <c r="J196" s="44">
        <f>F196</f>
        <v>0.84314188391622547</v>
      </c>
      <c r="K196" s="44">
        <f>J196</f>
        <v>0.84314188391622547</v>
      </c>
      <c r="L196" s="44">
        <f>J196</f>
        <v>0.84314188391622547</v>
      </c>
    </row>
    <row r="197" spans="1:13" ht="18" customHeight="1" x14ac:dyDescent="0.2">
      <c r="A197" s="24" t="s">
        <v>52</v>
      </c>
      <c r="B197" s="51" t="s">
        <v>807</v>
      </c>
      <c r="C197" s="24" t="s">
        <v>261</v>
      </c>
      <c r="D197" s="24" t="s">
        <v>290</v>
      </c>
      <c r="E197" s="24"/>
      <c r="F197" s="43"/>
      <c r="G197" s="24"/>
      <c r="H197" s="24" t="s">
        <v>20</v>
      </c>
      <c r="I197" s="26" t="s">
        <v>268</v>
      </c>
      <c r="J197" s="29">
        <f>J196 * J195</f>
        <v>28330.299394731996</v>
      </c>
      <c r="K197" s="29">
        <f>K196 * K195</f>
        <v>15360.37572811533</v>
      </c>
      <c r="L197" s="29">
        <f>L196 * L195</f>
        <v>44523.678289859468</v>
      </c>
    </row>
    <row r="198" spans="1:13" ht="18" customHeight="1" x14ac:dyDescent="0.2">
      <c r="A198" s="24" t="s">
        <v>52</v>
      </c>
      <c r="B198" s="51" t="s">
        <v>807</v>
      </c>
      <c r="C198" s="24" t="s">
        <v>554</v>
      </c>
      <c r="D198" s="24" t="s">
        <v>555</v>
      </c>
      <c r="E198" s="43"/>
      <c r="F198" s="218">
        <v>0.62642356005123989</v>
      </c>
      <c r="G198" s="43"/>
      <c r="H198" s="33" t="s">
        <v>693</v>
      </c>
      <c r="I198" s="26" t="s">
        <v>763</v>
      </c>
      <c r="J198" s="44">
        <f>F198</f>
        <v>0.62642356005123989</v>
      </c>
      <c r="K198" s="44">
        <f>J198</f>
        <v>0.62642356005123989</v>
      </c>
      <c r="L198" s="44">
        <f>J198</f>
        <v>0.62642356005123989</v>
      </c>
    </row>
    <row r="199" spans="1:13" ht="18" customHeight="1" x14ac:dyDescent="0.2">
      <c r="A199" s="24" t="s">
        <v>52</v>
      </c>
      <c r="B199" s="51" t="s">
        <v>807</v>
      </c>
      <c r="C199" s="24" t="s">
        <v>556</v>
      </c>
      <c r="D199" s="24" t="s">
        <v>557</v>
      </c>
      <c r="E199" s="43"/>
      <c r="F199" s="218">
        <v>4.1850277128338701E-3</v>
      </c>
      <c r="G199" s="43"/>
      <c r="H199" s="33" t="s">
        <v>693</v>
      </c>
      <c r="I199" s="26" t="s">
        <v>763</v>
      </c>
      <c r="J199" s="44">
        <f t="shared" ref="J199:J200" si="11">F199</f>
        <v>4.1850277128338701E-3</v>
      </c>
      <c r="K199" s="44">
        <f>J199</f>
        <v>4.1850277128338701E-3</v>
      </c>
      <c r="L199" s="44">
        <f>J199</f>
        <v>4.1850277128338701E-3</v>
      </c>
    </row>
    <row r="200" spans="1:13" ht="18" customHeight="1" x14ac:dyDescent="0.2">
      <c r="A200" s="24" t="s">
        <v>52</v>
      </c>
      <c r="B200" s="51" t="s">
        <v>807</v>
      </c>
      <c r="C200" s="24" t="s">
        <v>558</v>
      </c>
      <c r="D200" s="24" t="s">
        <v>559</v>
      </c>
      <c r="E200" s="43"/>
      <c r="F200" s="218">
        <v>1.21497119001447E-5</v>
      </c>
      <c r="G200" s="43"/>
      <c r="H200" s="33" t="s">
        <v>693</v>
      </c>
      <c r="I200" s="26" t="s">
        <v>763</v>
      </c>
      <c r="J200" s="44">
        <f t="shared" si="11"/>
        <v>1.21497119001447E-5</v>
      </c>
      <c r="K200" s="44">
        <f>J200</f>
        <v>1.21497119001447E-5</v>
      </c>
      <c r="L200" s="44">
        <f>J200</f>
        <v>1.21497119001447E-5</v>
      </c>
    </row>
    <row r="201" spans="1:13" ht="18" customHeight="1" x14ac:dyDescent="0.2">
      <c r="A201" s="24" t="s">
        <v>52</v>
      </c>
      <c r="B201" s="51" t="s">
        <v>807</v>
      </c>
      <c r="C201" s="24" t="s">
        <v>560</v>
      </c>
      <c r="D201" s="24" t="s">
        <v>432</v>
      </c>
      <c r="E201" s="24"/>
      <c r="F201" s="43"/>
      <c r="G201" s="24"/>
      <c r="H201" s="24" t="s">
        <v>20</v>
      </c>
      <c r="I201" s="26" t="s">
        <v>536</v>
      </c>
      <c r="J201" s="44">
        <f>J198 * J197</f>
        <v>17746.767004165504</v>
      </c>
      <c r="K201" s="44">
        <f>K198 * K197</f>
        <v>9622.1012473306619</v>
      </c>
      <c r="L201" s="44">
        <f>L198 * L197</f>
        <v>27890.681060909868</v>
      </c>
    </row>
    <row r="202" spans="1:13" ht="18" customHeight="1" x14ac:dyDescent="0.2">
      <c r="A202" s="24" t="s">
        <v>52</v>
      </c>
      <c r="B202" s="51" t="s">
        <v>807</v>
      </c>
      <c r="C202" s="24" t="s">
        <v>561</v>
      </c>
      <c r="D202" s="24" t="s">
        <v>521</v>
      </c>
      <c r="E202" s="24"/>
      <c r="F202" s="43"/>
      <c r="G202" s="24"/>
      <c r="H202" s="24" t="s">
        <v>20</v>
      </c>
      <c r="I202" s="26" t="s">
        <v>538</v>
      </c>
      <c r="J202" s="44">
        <f>J199 * J197</f>
        <v>118.56308807983402</v>
      </c>
      <c r="K202" s="44">
        <f>K199 * K197</f>
        <v>64.28359810170339</v>
      </c>
      <c r="L202" s="44">
        <f>L199 * L197</f>
        <v>186.3328275203616</v>
      </c>
    </row>
    <row r="203" spans="1:13" ht="18" customHeight="1" x14ac:dyDescent="0.2">
      <c r="A203" s="24" t="s">
        <v>52</v>
      </c>
      <c r="B203" s="51" t="s">
        <v>807</v>
      </c>
      <c r="C203" s="24" t="s">
        <v>562</v>
      </c>
      <c r="D203" s="24" t="s">
        <v>524</v>
      </c>
      <c r="E203" s="24"/>
      <c r="F203" s="43"/>
      <c r="G203" s="24"/>
      <c r="H203" s="24" t="s">
        <v>20</v>
      </c>
      <c r="I203" s="26" t="s">
        <v>540</v>
      </c>
      <c r="J203" s="44">
        <f>J200 * J197</f>
        <v>0.34420497569083752</v>
      </c>
      <c r="K203" s="44">
        <f>K200 * K197</f>
        <v>0.18662413977457665</v>
      </c>
      <c r="L203" s="44">
        <f>L200 * L197</f>
        <v>0.54094986395651978</v>
      </c>
    </row>
    <row r="204" spans="1:13" ht="18" customHeight="1" x14ac:dyDescent="0.2">
      <c r="A204" s="24" t="s">
        <v>52</v>
      </c>
      <c r="B204" s="51" t="s">
        <v>807</v>
      </c>
      <c r="C204" s="24" t="s">
        <v>561</v>
      </c>
      <c r="D204" s="24" t="s">
        <v>421</v>
      </c>
      <c r="E204" s="24"/>
      <c r="F204" s="43"/>
      <c r="G204" s="24"/>
      <c r="H204" s="24" t="s">
        <v>20</v>
      </c>
      <c r="I204" s="26" t="s">
        <v>526</v>
      </c>
      <c r="J204" s="29">
        <f>J202 * '5. Unit Conversions'!D15</f>
        <v>4031.1449947143565</v>
      </c>
      <c r="K204" s="29">
        <f>K202 * '5. Unit Conversions'!D15</f>
        <v>2185.6423354579151</v>
      </c>
      <c r="L204" s="29">
        <f>L202 * '5. Unit Conversions'!D15</f>
        <v>6335.3161356922947</v>
      </c>
    </row>
    <row r="205" spans="1:13" ht="18" customHeight="1" x14ac:dyDescent="0.2">
      <c r="A205" s="24" t="s">
        <v>52</v>
      </c>
      <c r="B205" s="51" t="s">
        <v>807</v>
      </c>
      <c r="C205" s="24" t="s">
        <v>541</v>
      </c>
      <c r="D205" s="24" t="s">
        <v>421</v>
      </c>
      <c r="E205" s="24"/>
      <c r="F205" s="43"/>
      <c r="G205" s="24"/>
      <c r="H205" s="24" t="s">
        <v>20</v>
      </c>
      <c r="I205" s="26" t="s">
        <v>527</v>
      </c>
      <c r="J205" s="29">
        <f>J203 * '5. Unit Conversions'!D16</f>
        <v>102.57308275586958</v>
      </c>
      <c r="K205" s="29">
        <f>K203 * '5. Unit Conversions'!D16</f>
        <v>55.613993652823844</v>
      </c>
      <c r="L205" s="29">
        <f>L203 * '5. Unit Conversions'!D16</f>
        <v>161.20305945904289</v>
      </c>
    </row>
    <row r="206" spans="1:13" ht="18" customHeight="1" x14ac:dyDescent="0.2">
      <c r="A206" s="24" t="s">
        <v>52</v>
      </c>
      <c r="B206" s="51" t="s">
        <v>807</v>
      </c>
      <c r="C206" s="24" t="s">
        <v>493</v>
      </c>
      <c r="D206" s="24" t="s">
        <v>421</v>
      </c>
      <c r="E206" s="24"/>
      <c r="F206" s="43"/>
      <c r="G206" s="24"/>
      <c r="H206" s="24" t="s">
        <v>20</v>
      </c>
      <c r="I206" s="26" t="s">
        <v>528</v>
      </c>
      <c r="J206" s="29">
        <f>J201 + J204 + J205</f>
        <v>21880.485081635728</v>
      </c>
      <c r="K206" s="29">
        <f>K201 + K204 + K205</f>
        <v>11863.3575764414</v>
      </c>
      <c r="L206" s="29">
        <f>L201 + L204 + L205</f>
        <v>34387.200256061202</v>
      </c>
    </row>
    <row r="207" spans="1:13" ht="18" customHeight="1" x14ac:dyDescent="0.2">
      <c r="A207" s="24" t="s">
        <v>52</v>
      </c>
      <c r="B207" s="51" t="s">
        <v>807</v>
      </c>
      <c r="C207" s="24" t="s">
        <v>494</v>
      </c>
      <c r="D207" s="24" t="s">
        <v>423</v>
      </c>
      <c r="E207" s="24"/>
      <c r="F207" s="43"/>
      <c r="G207" s="24"/>
      <c r="H207" s="24" t="s">
        <v>20</v>
      </c>
      <c r="I207" s="26" t="s">
        <v>424</v>
      </c>
      <c r="J207" s="27">
        <f>J206 / J50</f>
        <v>7.2451937356409701E-2</v>
      </c>
      <c r="K207" s="27">
        <f>K206 / K50</f>
        <v>3.9282640981594043E-2</v>
      </c>
      <c r="L207" s="27">
        <f>L206 / L50</f>
        <v>0.11386490151013642</v>
      </c>
      <c r="M207" s="18" t="s">
        <v>339</v>
      </c>
    </row>
    <row r="208" spans="1:13" ht="18" customHeight="1" x14ac:dyDescent="0.2">
      <c r="A208" s="24" t="s">
        <v>52</v>
      </c>
      <c r="B208" s="51" t="s">
        <v>808</v>
      </c>
      <c r="C208" s="24" t="s">
        <v>563</v>
      </c>
      <c r="D208" s="24" t="s">
        <v>564</v>
      </c>
      <c r="E208" s="24"/>
      <c r="F208" s="218">
        <v>2.6541553678738752</v>
      </c>
      <c r="G208" s="24"/>
      <c r="H208" s="33" t="s">
        <v>693</v>
      </c>
      <c r="I208" s="26" t="s">
        <v>762</v>
      </c>
      <c r="J208" s="44">
        <f t="shared" ref="J208:J210" si="12">F208</f>
        <v>2.6541553678738752</v>
      </c>
      <c r="K208" s="44">
        <f>J208</f>
        <v>2.6541553678738752</v>
      </c>
      <c r="L208" s="44">
        <f>J208</f>
        <v>2.6541553678738752</v>
      </c>
    </row>
    <row r="209" spans="1:13" ht="18" customHeight="1" x14ac:dyDescent="0.2">
      <c r="A209" s="24" t="s">
        <v>52</v>
      </c>
      <c r="B209" s="51" t="s">
        <v>808</v>
      </c>
      <c r="C209" s="24" t="s">
        <v>565</v>
      </c>
      <c r="D209" s="24" t="s">
        <v>566</v>
      </c>
      <c r="E209" s="24"/>
      <c r="F209" s="218">
        <v>3.8040775579770608E-4</v>
      </c>
      <c r="G209" s="24"/>
      <c r="H209" s="33" t="s">
        <v>693</v>
      </c>
      <c r="I209" s="26" t="s">
        <v>762</v>
      </c>
      <c r="J209" s="44">
        <f t="shared" si="12"/>
        <v>3.8040775579770608E-4</v>
      </c>
      <c r="K209" s="44">
        <f>J209</f>
        <v>3.8040775579770608E-4</v>
      </c>
      <c r="L209" s="44">
        <f>J209</f>
        <v>3.8040775579770608E-4</v>
      </c>
    </row>
    <row r="210" spans="1:13" ht="18" customHeight="1" x14ac:dyDescent="0.2">
      <c r="A210" s="24" t="s">
        <v>52</v>
      </c>
      <c r="B210" s="51" t="s">
        <v>808</v>
      </c>
      <c r="C210" s="24" t="s">
        <v>567</v>
      </c>
      <c r="D210" s="24" t="s">
        <v>568</v>
      </c>
      <c r="E210" s="24"/>
      <c r="F210" s="218">
        <v>6.8684733685696935E-5</v>
      </c>
      <c r="G210" s="24"/>
      <c r="H210" s="33" t="s">
        <v>693</v>
      </c>
      <c r="I210" s="26" t="s">
        <v>762</v>
      </c>
      <c r="J210" s="44">
        <f t="shared" si="12"/>
        <v>6.8684733685696935E-5</v>
      </c>
      <c r="K210" s="44">
        <f>J210</f>
        <v>6.8684733685696935E-5</v>
      </c>
      <c r="L210" s="44">
        <f>J210</f>
        <v>6.8684733685696935E-5</v>
      </c>
    </row>
    <row r="211" spans="1:13" ht="18" customHeight="1" x14ac:dyDescent="0.2">
      <c r="A211" s="24" t="s">
        <v>52</v>
      </c>
      <c r="B211" s="51" t="s">
        <v>808</v>
      </c>
      <c r="C211" s="24" t="s">
        <v>569</v>
      </c>
      <c r="D211" s="24" t="s">
        <v>432</v>
      </c>
      <c r="E211" s="24"/>
      <c r="F211" s="43"/>
      <c r="G211" s="24"/>
      <c r="H211" s="24" t="s">
        <v>20</v>
      </c>
      <c r="I211" s="26" t="s">
        <v>570</v>
      </c>
      <c r="J211" s="29">
        <f>J208 * J195</f>
        <v>89181.924948082757</v>
      </c>
      <c r="K211" s="29">
        <f>K208 * K195</f>
        <v>48353.455650873198</v>
      </c>
      <c r="L211" s="29">
        <f>L208 * L195</f>
        <v>140157.61995078597</v>
      </c>
    </row>
    <row r="212" spans="1:13" ht="18" customHeight="1" x14ac:dyDescent="0.2">
      <c r="A212" s="24" t="s">
        <v>52</v>
      </c>
      <c r="B212" s="51" t="s">
        <v>808</v>
      </c>
      <c r="C212" s="24" t="s">
        <v>571</v>
      </c>
      <c r="D212" s="24" t="s">
        <v>521</v>
      </c>
      <c r="E212" s="24"/>
      <c r="F212" s="43"/>
      <c r="G212" s="24"/>
      <c r="H212" s="24" t="s">
        <v>20</v>
      </c>
      <c r="I212" s="26" t="s">
        <v>572</v>
      </c>
      <c r="J212" s="30">
        <f>J209 * J195</f>
        <v>12.782030900623504</v>
      </c>
      <c r="K212" s="30">
        <f>K209 * K195</f>
        <v>6.9302761141474605</v>
      </c>
      <c r="L212" s="30">
        <f>L209 * L195</f>
        <v>20.088140396293447</v>
      </c>
    </row>
    <row r="213" spans="1:13" ht="18" customHeight="1" x14ac:dyDescent="0.2">
      <c r="A213" s="24" t="s">
        <v>52</v>
      </c>
      <c r="B213" s="51" t="s">
        <v>808</v>
      </c>
      <c r="C213" s="24" t="s">
        <v>573</v>
      </c>
      <c r="D213" s="24" t="s">
        <v>524</v>
      </c>
      <c r="E213" s="24"/>
      <c r="F213" s="43"/>
      <c r="G213" s="24"/>
      <c r="H213" s="24" t="s">
        <v>20</v>
      </c>
      <c r="I213" s="26" t="s">
        <v>574</v>
      </c>
      <c r="J213" s="30">
        <f>J210 * J195</f>
        <v>2.3078666903903549</v>
      </c>
      <c r="K213" s="30">
        <f>K210 * K195</f>
        <v>1.2512998539432916</v>
      </c>
      <c r="L213" s="30">
        <f>L210 * L195</f>
        <v>3.6270253493307614</v>
      </c>
    </row>
    <row r="214" spans="1:13" ht="18" customHeight="1" x14ac:dyDescent="0.2">
      <c r="A214" s="24" t="s">
        <v>52</v>
      </c>
      <c r="B214" s="51" t="s">
        <v>808</v>
      </c>
      <c r="C214" s="24" t="s">
        <v>569</v>
      </c>
      <c r="D214" s="24" t="s">
        <v>421</v>
      </c>
      <c r="E214" s="24"/>
      <c r="F214" s="43"/>
      <c r="G214" s="24"/>
      <c r="H214" s="24" t="s">
        <v>20</v>
      </c>
      <c r="I214" s="26" t="s">
        <v>526</v>
      </c>
      <c r="J214" s="29">
        <f>J212 * '5. Unit Conversions'!D15</f>
        <v>434.58905062119914</v>
      </c>
      <c r="K214" s="29">
        <f>K212 * '5. Unit Conversions'!D15</f>
        <v>235.62938788101366</v>
      </c>
      <c r="L214" s="29">
        <f>L212 * '5. Unit Conversions'!D15</f>
        <v>682.99677347397721</v>
      </c>
    </row>
    <row r="215" spans="1:13" ht="18" customHeight="1" x14ac:dyDescent="0.2">
      <c r="A215" s="24" t="s">
        <v>52</v>
      </c>
      <c r="B215" s="51" t="s">
        <v>808</v>
      </c>
      <c r="C215" s="24" t="s">
        <v>571</v>
      </c>
      <c r="D215" s="24" t="s">
        <v>421</v>
      </c>
      <c r="E215" s="24"/>
      <c r="F215" s="43"/>
      <c r="G215" s="24"/>
      <c r="H215" s="24" t="s">
        <v>20</v>
      </c>
      <c r="I215" s="26" t="s">
        <v>527</v>
      </c>
      <c r="J215" s="29">
        <f>J213 * '5. Unit Conversions'!D16</f>
        <v>687.74427373632579</v>
      </c>
      <c r="K215" s="29">
        <f>K213 * '5. Unit Conversions'!D16</f>
        <v>372.88735647510089</v>
      </c>
      <c r="L215" s="29">
        <f>L213 * '5. Unit Conversions'!D16</f>
        <v>1080.853554100567</v>
      </c>
    </row>
    <row r="216" spans="1:13" ht="18" customHeight="1" x14ac:dyDescent="0.2">
      <c r="A216" s="24" t="s">
        <v>52</v>
      </c>
      <c r="B216" s="51" t="s">
        <v>808</v>
      </c>
      <c r="C216" s="24" t="s">
        <v>493</v>
      </c>
      <c r="D216" s="24" t="s">
        <v>421</v>
      </c>
      <c r="E216" s="24"/>
      <c r="F216" s="43"/>
      <c r="G216" s="24"/>
      <c r="H216" s="24" t="s">
        <v>20</v>
      </c>
      <c r="I216" s="26" t="s">
        <v>528</v>
      </c>
      <c r="J216" s="29">
        <f>J211 + J214 + J215</f>
        <v>90304.258272440289</v>
      </c>
      <c r="K216" s="29">
        <f>K211 + K214 + K215</f>
        <v>48961.972395229306</v>
      </c>
      <c r="L216" s="29">
        <f>L211 + L214 + L215</f>
        <v>141921.4702783605</v>
      </c>
    </row>
    <row r="217" spans="1:13" ht="18" customHeight="1" x14ac:dyDescent="0.2">
      <c r="A217" s="24" t="s">
        <v>52</v>
      </c>
      <c r="B217" s="51" t="s">
        <v>808</v>
      </c>
      <c r="C217" s="24" t="s">
        <v>494</v>
      </c>
      <c r="D217" s="24" t="s">
        <v>423</v>
      </c>
      <c r="E217" s="24"/>
      <c r="F217" s="43"/>
      <c r="G217" s="24"/>
      <c r="H217" s="24" t="s">
        <v>20</v>
      </c>
      <c r="I217" s="26" t="s">
        <v>424</v>
      </c>
      <c r="J217" s="30">
        <f>J216 / J50</f>
        <v>0.29902072275642477</v>
      </c>
      <c r="K217" s="30">
        <f>K216 / K50</f>
        <v>0.16212573640804406</v>
      </c>
      <c r="L217" s="30">
        <f>L216 / L50</f>
        <v>0.46993864330582946</v>
      </c>
      <c r="M217" s="18" t="s">
        <v>339</v>
      </c>
    </row>
    <row r="218" spans="1:13" ht="18" customHeight="1" x14ac:dyDescent="0.2">
      <c r="A218" s="51" t="s">
        <v>52</v>
      </c>
      <c r="B218" s="51" t="s">
        <v>809</v>
      </c>
      <c r="C218" s="51" t="s">
        <v>309</v>
      </c>
      <c r="D218" s="51" t="s">
        <v>575</v>
      </c>
      <c r="E218" s="51"/>
      <c r="F218" s="220">
        <v>1.7739103250307121E-2</v>
      </c>
      <c r="G218" s="51"/>
      <c r="H218" s="33" t="s">
        <v>693</v>
      </c>
      <c r="I218" s="60" t="s">
        <v>761</v>
      </c>
      <c r="J218" s="61">
        <f>F218</f>
        <v>1.7739103250307121E-2</v>
      </c>
      <c r="K218" s="61">
        <f>J218</f>
        <v>1.7739103250307121E-2</v>
      </c>
      <c r="L218" s="61">
        <f>J218</f>
        <v>1.7739103250307121E-2</v>
      </c>
      <c r="M218" s="229"/>
    </row>
    <row r="219" spans="1:13" ht="18" customHeight="1" x14ac:dyDescent="0.2">
      <c r="A219" s="51" t="s">
        <v>52</v>
      </c>
      <c r="B219" s="51" t="s">
        <v>809</v>
      </c>
      <c r="C219" s="51" t="s">
        <v>576</v>
      </c>
      <c r="D219" s="51" t="s">
        <v>432</v>
      </c>
      <c r="E219" s="51"/>
      <c r="F219" s="59"/>
      <c r="G219" s="51"/>
      <c r="H219" s="51" t="s">
        <v>20</v>
      </c>
      <c r="I219" s="60" t="s">
        <v>577</v>
      </c>
      <c r="J219" s="92">
        <f>J62</f>
        <v>138057142.8571429</v>
      </c>
      <c r="K219" s="92">
        <f>K62</f>
        <v>74853059.499615967</v>
      </c>
      <c r="L219" s="92">
        <f>L62</f>
        <v>216969532.46218061</v>
      </c>
      <c r="M219" s="229"/>
    </row>
    <row r="220" spans="1:13" ht="18" customHeight="1" x14ac:dyDescent="0.2">
      <c r="A220" s="51" t="s">
        <v>52</v>
      </c>
      <c r="B220" s="51" t="s">
        <v>809</v>
      </c>
      <c r="C220" s="51" t="s">
        <v>833</v>
      </c>
      <c r="D220" s="51" t="s">
        <v>208</v>
      </c>
      <c r="E220" s="51"/>
      <c r="F220" s="93"/>
      <c r="G220" s="51"/>
      <c r="H220" s="51" t="s">
        <v>20</v>
      </c>
      <c r="I220" s="60" t="s">
        <v>578</v>
      </c>
      <c r="J220" s="92">
        <f>J218 * J219</f>
        <v>2449009.9115852583</v>
      </c>
      <c r="K220" s="92">
        <f>K218 * K219</f>
        <v>1327826.1510650699</v>
      </c>
      <c r="L220" s="92">
        <f>L218 * L219</f>
        <v>3848844.9385174848</v>
      </c>
      <c r="M220" s="229"/>
    </row>
    <row r="221" spans="1:13" ht="18" customHeight="1" x14ac:dyDescent="0.2">
      <c r="A221" s="51" t="s">
        <v>52</v>
      </c>
      <c r="B221" s="51" t="s">
        <v>809</v>
      </c>
      <c r="C221" s="51" t="s">
        <v>311</v>
      </c>
      <c r="D221" s="51" t="s">
        <v>307</v>
      </c>
      <c r="E221" s="51"/>
      <c r="F221" s="221">
        <f>1025000 / 1000 / 0.0190509</f>
        <v>53803.232393220271</v>
      </c>
      <c r="G221" s="51"/>
      <c r="H221" s="33" t="s">
        <v>693</v>
      </c>
      <c r="I221" s="60" t="s">
        <v>749</v>
      </c>
      <c r="J221" s="92">
        <f>F221</f>
        <v>53803.232393220271</v>
      </c>
      <c r="K221" s="92">
        <f>J221</f>
        <v>53803.232393220271</v>
      </c>
      <c r="L221" s="92">
        <f>J221</f>
        <v>53803.232393220271</v>
      </c>
      <c r="M221" s="229"/>
    </row>
    <row r="222" spans="1:13" ht="18" customHeight="1" x14ac:dyDescent="0.2">
      <c r="A222" s="51" t="s">
        <v>52</v>
      </c>
      <c r="B222" s="51" t="s">
        <v>809</v>
      </c>
      <c r="C222" s="51" t="s">
        <v>312</v>
      </c>
      <c r="D222" s="51" t="s">
        <v>308</v>
      </c>
      <c r="E222" s="51"/>
      <c r="F222" s="93"/>
      <c r="G222" s="51"/>
      <c r="H222" s="51" t="s">
        <v>20</v>
      </c>
      <c r="I222" s="60" t="s">
        <v>321</v>
      </c>
      <c r="J222" s="92">
        <f>J220 * J221</f>
        <v>131764649406.32149</v>
      </c>
      <c r="K222" s="92">
        <f>K220 * K221</f>
        <v>71441338983.549164</v>
      </c>
      <c r="L222" s="92">
        <f>L220 * L221</f>
        <v>207080298672.52582</v>
      </c>
      <c r="M222" s="229"/>
    </row>
    <row r="223" spans="1:13" ht="18" customHeight="1" x14ac:dyDescent="0.2">
      <c r="A223" s="51" t="s">
        <v>52</v>
      </c>
      <c r="B223" s="51" t="s">
        <v>809</v>
      </c>
      <c r="C223" s="51" t="s">
        <v>310</v>
      </c>
      <c r="D223" s="51" t="s">
        <v>579</v>
      </c>
      <c r="E223" s="51"/>
      <c r="F223" s="220">
        <f>117 / 1000000</f>
        <v>1.17E-4</v>
      </c>
      <c r="G223" s="51"/>
      <c r="H223" s="33" t="s">
        <v>693</v>
      </c>
      <c r="I223" s="60" t="s">
        <v>749</v>
      </c>
      <c r="J223" s="61">
        <f>F223</f>
        <v>1.17E-4</v>
      </c>
      <c r="K223" s="61">
        <f>J223</f>
        <v>1.17E-4</v>
      </c>
      <c r="L223" s="61">
        <f>J223</f>
        <v>1.17E-4</v>
      </c>
      <c r="M223" s="229"/>
    </row>
    <row r="224" spans="1:13" ht="18" customHeight="1" x14ac:dyDescent="0.2">
      <c r="A224" s="51" t="s">
        <v>52</v>
      </c>
      <c r="B224" s="51" t="s">
        <v>809</v>
      </c>
      <c r="C224" s="51" t="s">
        <v>493</v>
      </c>
      <c r="D224" s="51" t="s">
        <v>580</v>
      </c>
      <c r="E224" s="51"/>
      <c r="F224" s="93"/>
      <c r="G224" s="51"/>
      <c r="H224" s="51" t="s">
        <v>20</v>
      </c>
      <c r="I224" s="60" t="s">
        <v>313</v>
      </c>
      <c r="J224" s="92">
        <f>J223 * J222</f>
        <v>15416463.980539614</v>
      </c>
      <c r="K224" s="92">
        <f>K223 * K222</f>
        <v>8358636.6610752521</v>
      </c>
      <c r="L224" s="92">
        <f>L223 * L222</f>
        <v>24228394.944685519</v>
      </c>
      <c r="M224" s="229"/>
    </row>
    <row r="225" spans="1:13" ht="18" customHeight="1" x14ac:dyDescent="0.2">
      <c r="A225" s="51" t="s">
        <v>52</v>
      </c>
      <c r="B225" s="51" t="s">
        <v>809</v>
      </c>
      <c r="C225" s="51" t="s">
        <v>493</v>
      </c>
      <c r="D225" s="51" t="s">
        <v>432</v>
      </c>
      <c r="E225" s="51"/>
      <c r="F225" s="93"/>
      <c r="G225" s="51"/>
      <c r="H225" s="51" t="s">
        <v>20</v>
      </c>
      <c r="I225" s="60" t="s">
        <v>314</v>
      </c>
      <c r="J225" s="92">
        <f>J224 * '5. Unit Conversions'!D9</f>
        <v>6992784.7298609251</v>
      </c>
      <c r="K225" s="92">
        <f>K224 * '5. Unit Conversions'!D9</f>
        <v>3791410.7203704459</v>
      </c>
      <c r="L225" s="92">
        <f>L224 * '5. Unit Conversions'!D9</f>
        <v>10989806.119749794</v>
      </c>
      <c r="M225" s="229"/>
    </row>
    <row r="226" spans="1:13" ht="18" customHeight="1" x14ac:dyDescent="0.2">
      <c r="A226" s="51" t="s">
        <v>52</v>
      </c>
      <c r="B226" s="51" t="s">
        <v>809</v>
      </c>
      <c r="C226" s="51" t="s">
        <v>494</v>
      </c>
      <c r="D226" s="51" t="s">
        <v>435</v>
      </c>
      <c r="E226" s="51"/>
      <c r="F226" s="93"/>
      <c r="G226" s="51"/>
      <c r="H226" s="51" t="s">
        <v>20</v>
      </c>
      <c r="I226" s="60" t="s">
        <v>424</v>
      </c>
      <c r="J226" s="94">
        <f>J225 / J50</f>
        <v>23.154916324042798</v>
      </c>
      <c r="K226" s="94">
        <f>K225 / K50</f>
        <v>12.554340133676973</v>
      </c>
      <c r="L226" s="94">
        <f>L225 / L50</f>
        <v>36.390086489237724</v>
      </c>
      <c r="M226" s="229" t="s">
        <v>339</v>
      </c>
    </row>
    <row r="227" spans="1:13" s="20" customFormat="1" ht="18" customHeight="1" x14ac:dyDescent="0.2">
      <c r="A227" s="51" t="s">
        <v>52</v>
      </c>
      <c r="B227" s="51" t="s">
        <v>810</v>
      </c>
      <c r="C227" s="24" t="s">
        <v>319</v>
      </c>
      <c r="D227" s="24" t="s">
        <v>581</v>
      </c>
      <c r="E227" s="51"/>
      <c r="F227" s="220">
        <v>7.2892363956584046E-3</v>
      </c>
      <c r="G227" s="51"/>
      <c r="H227" s="33" t="s">
        <v>693</v>
      </c>
      <c r="I227" s="60" t="s">
        <v>761</v>
      </c>
      <c r="J227" s="61">
        <f>F227</f>
        <v>7.2892363956584046E-3</v>
      </c>
      <c r="K227" s="61">
        <f>J227</f>
        <v>7.2892363956584046E-3</v>
      </c>
      <c r="L227" s="61">
        <f>J227</f>
        <v>7.2892363956584046E-3</v>
      </c>
      <c r="M227" s="229"/>
    </row>
    <row r="228" spans="1:13" s="20" customFormat="1" ht="18" customHeight="1" x14ac:dyDescent="0.2">
      <c r="A228" s="51" t="s">
        <v>52</v>
      </c>
      <c r="B228" s="51" t="s">
        <v>810</v>
      </c>
      <c r="C228" s="24" t="s">
        <v>320</v>
      </c>
      <c r="D228" s="24" t="s">
        <v>318</v>
      </c>
      <c r="E228" s="51"/>
      <c r="F228" s="59"/>
      <c r="G228" s="51"/>
      <c r="H228" s="51" t="s">
        <v>20</v>
      </c>
      <c r="I228" s="26" t="s">
        <v>582</v>
      </c>
      <c r="J228" s="62">
        <f>J227 * J190</f>
        <v>1006331.1503948978</v>
      </c>
      <c r="K228" s="62">
        <f>K227 * K190</f>
        <v>545621.6456309848</v>
      </c>
      <c r="L228" s="62">
        <f>L227 * L190</f>
        <v>1581542.2127723147</v>
      </c>
      <c r="M228" s="229"/>
    </row>
    <row r="229" spans="1:13" ht="18" customHeight="1" x14ac:dyDescent="0.2">
      <c r="A229" s="51" t="s">
        <v>52</v>
      </c>
      <c r="B229" s="51" t="s">
        <v>810</v>
      </c>
      <c r="C229" s="24" t="s">
        <v>512</v>
      </c>
      <c r="D229" s="24" t="s">
        <v>513</v>
      </c>
      <c r="E229" s="24"/>
      <c r="F229" s="218">
        <v>0.16813559764183611</v>
      </c>
      <c r="G229" s="24"/>
      <c r="H229" s="33" t="s">
        <v>693</v>
      </c>
      <c r="I229" s="26" t="s">
        <v>757</v>
      </c>
      <c r="J229" s="44">
        <f>F229</f>
        <v>0.16813559764183611</v>
      </c>
      <c r="K229" s="44">
        <f>J229</f>
        <v>0.16813559764183611</v>
      </c>
      <c r="L229" s="44">
        <f>J229</f>
        <v>0.16813559764183611</v>
      </c>
    </row>
    <row r="230" spans="1:13" ht="18" customHeight="1" x14ac:dyDescent="0.2">
      <c r="A230" s="51" t="s">
        <v>52</v>
      </c>
      <c r="B230" s="51" t="s">
        <v>810</v>
      </c>
      <c r="C230" s="24" t="s">
        <v>514</v>
      </c>
      <c r="D230" s="24" t="s">
        <v>515</v>
      </c>
      <c r="E230" s="24"/>
      <c r="F230" s="218">
        <v>1.8096395844748085E-2</v>
      </c>
      <c r="G230" s="24"/>
      <c r="H230" s="33" t="s">
        <v>693</v>
      </c>
      <c r="I230" s="26" t="s">
        <v>757</v>
      </c>
      <c r="J230" s="44">
        <f t="shared" ref="J230:J231" si="13">F230</f>
        <v>1.8096395844748085E-2</v>
      </c>
      <c r="K230" s="44">
        <f>J230</f>
        <v>1.8096395844748085E-2</v>
      </c>
      <c r="L230" s="44">
        <f>J230</f>
        <v>1.8096395844748085E-2</v>
      </c>
    </row>
    <row r="231" spans="1:13" ht="18" customHeight="1" x14ac:dyDescent="0.2">
      <c r="A231" s="51" t="s">
        <v>52</v>
      </c>
      <c r="B231" s="51" t="s">
        <v>810</v>
      </c>
      <c r="C231" s="24" t="s">
        <v>516</v>
      </c>
      <c r="D231" s="24" t="s">
        <v>517</v>
      </c>
      <c r="E231" s="24"/>
      <c r="F231" s="218">
        <v>4.5959731116537071E-6</v>
      </c>
      <c r="G231" s="24"/>
      <c r="H231" s="33" t="s">
        <v>693</v>
      </c>
      <c r="I231" s="26" t="s">
        <v>757</v>
      </c>
      <c r="J231" s="44">
        <f t="shared" si="13"/>
        <v>4.5959731116537071E-6</v>
      </c>
      <c r="K231" s="44">
        <f>J231</f>
        <v>4.5959731116537071E-6</v>
      </c>
      <c r="L231" s="44">
        <f>J231</f>
        <v>4.5959731116537071E-6</v>
      </c>
    </row>
    <row r="232" spans="1:13" ht="18" customHeight="1" x14ac:dyDescent="0.2">
      <c r="A232" s="51" t="s">
        <v>52</v>
      </c>
      <c r="B232" s="51" t="s">
        <v>810</v>
      </c>
      <c r="C232" s="24" t="s">
        <v>518</v>
      </c>
      <c r="D232" s="24" t="s">
        <v>432</v>
      </c>
      <c r="E232" s="24"/>
      <c r="F232" s="43"/>
      <c r="G232" s="24"/>
      <c r="H232" s="24" t="s">
        <v>20</v>
      </c>
      <c r="I232" s="26" t="s">
        <v>519</v>
      </c>
      <c r="J232" s="29">
        <f>J229 * J228</f>
        <v>169200.08939724258</v>
      </c>
      <c r="K232" s="29">
        <f>K229 * K228</f>
        <v>91738.421474487739</v>
      </c>
      <c r="L232" s="29">
        <f>L229 * L228</f>
        <v>265913.54514026508</v>
      </c>
    </row>
    <row r="233" spans="1:13" ht="18" customHeight="1" x14ac:dyDescent="0.2">
      <c r="A233" s="51" t="s">
        <v>52</v>
      </c>
      <c r="B233" s="51" t="s">
        <v>810</v>
      </c>
      <c r="C233" s="24" t="s">
        <v>520</v>
      </c>
      <c r="D233" s="24" t="s">
        <v>521</v>
      </c>
      <c r="E233" s="24"/>
      <c r="F233" s="43"/>
      <c r="G233" s="24"/>
      <c r="H233" s="24" t="s">
        <v>20</v>
      </c>
      <c r="I233" s="26" t="s">
        <v>522</v>
      </c>
      <c r="J233" s="29">
        <f>J230 * J228</f>
        <v>18210.966848446787</v>
      </c>
      <c r="K233" s="29">
        <f>K230 * K228</f>
        <v>9873.7852808011648</v>
      </c>
      <c r="L233" s="29">
        <f>L230 * L228</f>
        <v>28620.213927506607</v>
      </c>
    </row>
    <row r="234" spans="1:13" ht="18" customHeight="1" x14ac:dyDescent="0.2">
      <c r="A234" s="51" t="s">
        <v>52</v>
      </c>
      <c r="B234" s="51" t="s">
        <v>810</v>
      </c>
      <c r="C234" s="24" t="s">
        <v>523</v>
      </c>
      <c r="D234" s="24" t="s">
        <v>524</v>
      </c>
      <c r="E234" s="24"/>
      <c r="F234" s="43"/>
      <c r="G234" s="24"/>
      <c r="H234" s="24" t="s">
        <v>20</v>
      </c>
      <c r="I234" s="26" t="s">
        <v>525</v>
      </c>
      <c r="J234" s="30">
        <f>J231 * J228</f>
        <v>4.625070908634493</v>
      </c>
      <c r="K234" s="30">
        <f>K231 * K228</f>
        <v>2.5076624124562534</v>
      </c>
      <c r="L234" s="30">
        <f>L231 * L228</f>
        <v>7.2687254848468648</v>
      </c>
    </row>
    <row r="235" spans="1:13" ht="18" customHeight="1" x14ac:dyDescent="0.2">
      <c r="A235" s="51" t="s">
        <v>52</v>
      </c>
      <c r="B235" s="51" t="s">
        <v>810</v>
      </c>
      <c r="C235" s="24" t="s">
        <v>520</v>
      </c>
      <c r="D235" s="24" t="s">
        <v>421</v>
      </c>
      <c r="E235" s="24"/>
      <c r="F235" s="43"/>
      <c r="G235" s="24"/>
      <c r="H235" s="24" t="s">
        <v>20</v>
      </c>
      <c r="I235" s="26" t="s">
        <v>526</v>
      </c>
      <c r="J235" s="29">
        <f>J233 * '5. Unit Conversions'!D15</f>
        <v>619172.87284719083</v>
      </c>
      <c r="K235" s="29">
        <f>K233 * '5. Unit Conversions'!D15</f>
        <v>335708.69954723958</v>
      </c>
      <c r="L235" s="29">
        <f>L233 * '5. Unit Conversions'!D15</f>
        <v>973087.27353522461</v>
      </c>
    </row>
    <row r="236" spans="1:13" ht="18" customHeight="1" x14ac:dyDescent="0.2">
      <c r="A236" s="51" t="s">
        <v>52</v>
      </c>
      <c r="B236" s="51" t="s">
        <v>810</v>
      </c>
      <c r="C236" s="24" t="s">
        <v>523</v>
      </c>
      <c r="D236" s="24" t="s">
        <v>421</v>
      </c>
      <c r="E236" s="24"/>
      <c r="F236" s="43"/>
      <c r="G236" s="24"/>
      <c r="H236" s="24" t="s">
        <v>20</v>
      </c>
      <c r="I236" s="26" t="s">
        <v>527</v>
      </c>
      <c r="J236" s="29">
        <f>J234 * '5. Unit Conversions'!D16</f>
        <v>1378.271130773079</v>
      </c>
      <c r="K236" s="29">
        <f>K234 * '5. Unit Conversions'!D16</f>
        <v>747.28339891196356</v>
      </c>
      <c r="L236" s="29">
        <f>L234 * '5. Unit Conversions'!D16</f>
        <v>2166.0801944843656</v>
      </c>
    </row>
    <row r="237" spans="1:13" ht="18" customHeight="1" x14ac:dyDescent="0.2">
      <c r="A237" s="51" t="s">
        <v>52</v>
      </c>
      <c r="B237" s="51" t="s">
        <v>810</v>
      </c>
      <c r="C237" s="24" t="s">
        <v>493</v>
      </c>
      <c r="D237" s="24" t="s">
        <v>421</v>
      </c>
      <c r="E237" s="24"/>
      <c r="F237" s="43"/>
      <c r="G237" s="24"/>
      <c r="H237" s="24" t="s">
        <v>20</v>
      </c>
      <c r="I237" s="26" t="s">
        <v>528</v>
      </c>
      <c r="J237" s="29">
        <f>J232 + J235 + J236</f>
        <v>789751.23337520647</v>
      </c>
      <c r="K237" s="29">
        <f>K232 + K235 + K236</f>
        <v>428194.40442063927</v>
      </c>
      <c r="L237" s="29">
        <f>L232 + L235 + L236</f>
        <v>1241166.8988699741</v>
      </c>
    </row>
    <row r="238" spans="1:13" ht="18" customHeight="1" x14ac:dyDescent="0.2">
      <c r="A238" s="51" t="s">
        <v>52</v>
      </c>
      <c r="B238" s="51" t="s">
        <v>810</v>
      </c>
      <c r="C238" s="24" t="s">
        <v>494</v>
      </c>
      <c r="D238" s="24" t="s">
        <v>423</v>
      </c>
      <c r="E238" s="24"/>
      <c r="F238" s="43"/>
      <c r="G238" s="24"/>
      <c r="H238" s="24" t="s">
        <v>20</v>
      </c>
      <c r="I238" s="26" t="s">
        <v>424</v>
      </c>
      <c r="J238" s="30">
        <f>J237 / J50</f>
        <v>2.6150703091894254</v>
      </c>
      <c r="K238" s="30">
        <f>K237 / K50</f>
        <v>1.4178622662935074</v>
      </c>
      <c r="L238" s="30">
        <f>L237 / L50</f>
        <v>4.1098241684436232</v>
      </c>
      <c r="M238" s="18" t="s">
        <v>339</v>
      </c>
    </row>
    <row r="239" spans="1:13" ht="18" customHeight="1" x14ac:dyDescent="0.2">
      <c r="A239" s="24" t="s">
        <v>52</v>
      </c>
      <c r="B239" s="51" t="s">
        <v>811</v>
      </c>
      <c r="C239" s="24" t="s">
        <v>583</v>
      </c>
      <c r="D239" s="43" t="s">
        <v>584</v>
      </c>
      <c r="E239" s="24"/>
      <c r="F239" s="218">
        <v>3.9000064501237548E-3</v>
      </c>
      <c r="G239" s="24"/>
      <c r="H239" s="33" t="s">
        <v>693</v>
      </c>
      <c r="I239" s="26" t="s">
        <v>761</v>
      </c>
      <c r="J239" s="44">
        <f t="shared" ref="J239:J242" si="14">F239</f>
        <v>3.9000064501237548E-3</v>
      </c>
      <c r="K239" s="44">
        <f>J239</f>
        <v>3.9000064501237548E-3</v>
      </c>
      <c r="L239" s="44">
        <f>J239</f>
        <v>3.9000064501237548E-3</v>
      </c>
    </row>
    <row r="240" spans="1:13" ht="18" customHeight="1" x14ac:dyDescent="0.2">
      <c r="A240" s="24" t="s">
        <v>52</v>
      </c>
      <c r="B240" s="51" t="s">
        <v>811</v>
      </c>
      <c r="C240" s="24" t="s">
        <v>585</v>
      </c>
      <c r="D240" s="43" t="s">
        <v>586</v>
      </c>
      <c r="E240" s="24"/>
      <c r="F240" s="218">
        <v>7.2758695546545791E-3</v>
      </c>
      <c r="G240" s="24"/>
      <c r="H240" s="33" t="s">
        <v>693</v>
      </c>
      <c r="I240" s="26" t="s">
        <v>761</v>
      </c>
      <c r="J240" s="44">
        <f t="shared" si="14"/>
        <v>7.2758695546545791E-3</v>
      </c>
      <c r="K240" s="44">
        <f>J240</f>
        <v>7.2758695546545791E-3</v>
      </c>
      <c r="L240" s="44">
        <f>J240</f>
        <v>7.2758695546545791E-3</v>
      </c>
    </row>
    <row r="241" spans="1:12" ht="18" customHeight="1" x14ac:dyDescent="0.2">
      <c r="A241" s="24" t="s">
        <v>52</v>
      </c>
      <c r="B241" s="51" t="s">
        <v>811</v>
      </c>
      <c r="C241" s="24" t="s">
        <v>587</v>
      </c>
      <c r="D241" s="43" t="s">
        <v>588</v>
      </c>
      <c r="E241" s="24"/>
      <c r="F241" s="218">
        <v>6.1629843143761317E-3</v>
      </c>
      <c r="G241" s="24"/>
      <c r="H241" s="33" t="s">
        <v>693</v>
      </c>
      <c r="I241" s="26" t="s">
        <v>761</v>
      </c>
      <c r="J241" s="44">
        <f t="shared" si="14"/>
        <v>6.1629843143761317E-3</v>
      </c>
      <c r="K241" s="44">
        <f>J241</f>
        <v>6.1629843143761317E-3</v>
      </c>
      <c r="L241" s="44">
        <f>J241</f>
        <v>6.1629843143761317E-3</v>
      </c>
    </row>
    <row r="242" spans="1:12" ht="18" customHeight="1" x14ac:dyDescent="0.2">
      <c r="A242" s="24" t="s">
        <v>52</v>
      </c>
      <c r="B242" s="51" t="s">
        <v>811</v>
      </c>
      <c r="C242" s="24" t="s">
        <v>589</v>
      </c>
      <c r="D242" s="43" t="s">
        <v>590</v>
      </c>
      <c r="E242" s="24"/>
      <c r="F242" s="218">
        <v>7.0658244121427679E-3</v>
      </c>
      <c r="G242" s="24"/>
      <c r="H242" s="33" t="s">
        <v>693</v>
      </c>
      <c r="I242" s="26" t="s">
        <v>761</v>
      </c>
      <c r="J242" s="44">
        <f t="shared" si="14"/>
        <v>7.0658244121427679E-3</v>
      </c>
      <c r="K242" s="44">
        <f>J242</f>
        <v>7.0658244121427679E-3</v>
      </c>
      <c r="L242" s="44">
        <f>J242</f>
        <v>7.0658244121427679E-3</v>
      </c>
    </row>
    <row r="243" spans="1:12" ht="18" customHeight="1" x14ac:dyDescent="0.2">
      <c r="A243" s="24" t="s">
        <v>52</v>
      </c>
      <c r="B243" s="51" t="s">
        <v>811</v>
      </c>
      <c r="C243" s="24" t="s">
        <v>591</v>
      </c>
      <c r="D243" s="43" t="s">
        <v>592</v>
      </c>
      <c r="E243" s="24"/>
      <c r="F243" s="43"/>
      <c r="G243" s="24"/>
      <c r="H243" s="24" t="s">
        <v>20</v>
      </c>
      <c r="I243" s="26" t="s">
        <v>593</v>
      </c>
      <c r="J243" s="29">
        <f>J239 * $J$219</f>
        <v>538423.74762851396</v>
      </c>
      <c r="K243" s="29">
        <f t="shared" ref="K243:L246" si="15">K239 * $J$219</f>
        <v>538423.74762851396</v>
      </c>
      <c r="L243" s="29">
        <f t="shared" si="15"/>
        <v>538423.74762851396</v>
      </c>
    </row>
    <row r="244" spans="1:12" ht="18" customHeight="1" x14ac:dyDescent="0.2">
      <c r="A244" s="24" t="s">
        <v>52</v>
      </c>
      <c r="B244" s="51" t="s">
        <v>811</v>
      </c>
      <c r="C244" s="24" t="s">
        <v>594</v>
      </c>
      <c r="D244" s="43" t="s">
        <v>595</v>
      </c>
      <c r="E244" s="24"/>
      <c r="F244" s="43"/>
      <c r="G244" s="24"/>
      <c r="H244" s="24" t="s">
        <v>20</v>
      </c>
      <c r="I244" s="26" t="s">
        <v>596</v>
      </c>
      <c r="J244" s="29">
        <f>J240 * $J$219</f>
        <v>1004485.7625168839</v>
      </c>
      <c r="K244" s="29">
        <f t="shared" si="15"/>
        <v>1004485.7625168839</v>
      </c>
      <c r="L244" s="29">
        <f t="shared" si="15"/>
        <v>1004485.7625168839</v>
      </c>
    </row>
    <row r="245" spans="1:12" ht="18" customHeight="1" x14ac:dyDescent="0.2">
      <c r="A245" s="24" t="s">
        <v>52</v>
      </c>
      <c r="B245" s="51" t="s">
        <v>811</v>
      </c>
      <c r="C245" s="24" t="s">
        <v>597</v>
      </c>
      <c r="D245" s="43" t="s">
        <v>598</v>
      </c>
      <c r="E245" s="24"/>
      <c r="F245" s="43"/>
      <c r="G245" s="24"/>
      <c r="H245" s="24" t="s">
        <v>20</v>
      </c>
      <c r="I245" s="26" t="s">
        <v>599</v>
      </c>
      <c r="J245" s="29">
        <f>J241 * $J$219</f>
        <v>850844.00591615646</v>
      </c>
      <c r="K245" s="29">
        <f t="shared" si="15"/>
        <v>850844.00591615646</v>
      </c>
      <c r="L245" s="29">
        <f t="shared" si="15"/>
        <v>850844.00591615646</v>
      </c>
    </row>
    <row r="246" spans="1:12" ht="18" customHeight="1" x14ac:dyDescent="0.2">
      <c r="A246" s="24" t="s">
        <v>52</v>
      </c>
      <c r="B246" s="51" t="s">
        <v>811</v>
      </c>
      <c r="C246" s="24" t="s">
        <v>600</v>
      </c>
      <c r="D246" s="43" t="s">
        <v>601</v>
      </c>
      <c r="E246" s="24"/>
      <c r="F246" s="43"/>
      <c r="G246" s="24"/>
      <c r="H246" s="24" t="s">
        <v>20</v>
      </c>
      <c r="I246" s="26" t="s">
        <v>602</v>
      </c>
      <c r="J246" s="29">
        <f>J242 * $J$219</f>
        <v>975487.53027068183</v>
      </c>
      <c r="K246" s="29">
        <f t="shared" si="15"/>
        <v>975487.53027068183</v>
      </c>
      <c r="L246" s="29">
        <f t="shared" si="15"/>
        <v>975487.53027068183</v>
      </c>
    </row>
    <row r="247" spans="1:12" ht="18" customHeight="1" x14ac:dyDescent="0.2">
      <c r="A247" s="24" t="s">
        <v>52</v>
      </c>
      <c r="B247" s="51" t="s">
        <v>811</v>
      </c>
      <c r="C247" s="24" t="s">
        <v>270</v>
      </c>
      <c r="D247" s="24" t="s">
        <v>271</v>
      </c>
      <c r="E247" s="24"/>
      <c r="F247" s="34"/>
      <c r="G247" s="24"/>
      <c r="H247" s="24" t="s">
        <v>20</v>
      </c>
      <c r="I247" s="26" t="s">
        <v>377</v>
      </c>
      <c r="J247" s="29">
        <f>SUM(J243:J246)</f>
        <v>3369241.0463322359</v>
      </c>
      <c r="K247" s="29">
        <f>SUM(K243:K246)</f>
        <v>3369241.0463322359</v>
      </c>
      <c r="L247" s="29">
        <f>SUM(L243:L246)</f>
        <v>3369241.0463322359</v>
      </c>
    </row>
    <row r="248" spans="1:12" ht="18" customHeight="1" x14ac:dyDescent="0.2">
      <c r="A248" s="24" t="s">
        <v>52</v>
      </c>
      <c r="B248" s="51" t="s">
        <v>811</v>
      </c>
      <c r="C248" s="24" t="s">
        <v>603</v>
      </c>
      <c r="D248" s="43" t="s">
        <v>546</v>
      </c>
      <c r="E248" s="24"/>
      <c r="F248" s="214">
        <v>570</v>
      </c>
      <c r="G248" s="24"/>
      <c r="H248" s="33" t="s">
        <v>693</v>
      </c>
      <c r="I248" s="26" t="s">
        <v>764</v>
      </c>
      <c r="J248" s="29">
        <f>F248</f>
        <v>570</v>
      </c>
      <c r="K248" s="29">
        <f>J248</f>
        <v>570</v>
      </c>
      <c r="L248" s="29">
        <f>J248</f>
        <v>570</v>
      </c>
    </row>
    <row r="249" spans="1:12" ht="18" customHeight="1" x14ac:dyDescent="0.2">
      <c r="A249" s="24" t="s">
        <v>52</v>
      </c>
      <c r="B249" s="51" t="s">
        <v>811</v>
      </c>
      <c r="C249" s="24" t="s">
        <v>604</v>
      </c>
      <c r="D249" s="43" t="s">
        <v>546</v>
      </c>
      <c r="E249" s="24"/>
      <c r="F249" s="214">
        <v>494</v>
      </c>
      <c r="G249" s="24"/>
      <c r="H249" s="33" t="s">
        <v>693</v>
      </c>
      <c r="I249" s="26" t="s">
        <v>764</v>
      </c>
      <c r="J249" s="29">
        <f t="shared" ref="J249:J251" si="16">F249</f>
        <v>494</v>
      </c>
      <c r="K249" s="29">
        <f>J249</f>
        <v>494</v>
      </c>
      <c r="L249" s="29">
        <f>J249</f>
        <v>494</v>
      </c>
    </row>
    <row r="250" spans="1:12" ht="18" customHeight="1" x14ac:dyDescent="0.2">
      <c r="A250" s="24" t="s">
        <v>52</v>
      </c>
      <c r="B250" s="51" t="s">
        <v>811</v>
      </c>
      <c r="C250" s="24" t="s">
        <v>605</v>
      </c>
      <c r="D250" s="43" t="s">
        <v>546</v>
      </c>
      <c r="E250" s="24"/>
      <c r="F250" s="214">
        <v>599</v>
      </c>
      <c r="G250" s="24"/>
      <c r="H250" s="33" t="s">
        <v>693</v>
      </c>
      <c r="I250" s="26" t="s">
        <v>764</v>
      </c>
      <c r="J250" s="29">
        <f t="shared" si="16"/>
        <v>599</v>
      </c>
      <c r="K250" s="29">
        <f>J250</f>
        <v>599</v>
      </c>
      <c r="L250" s="29">
        <f>J250</f>
        <v>599</v>
      </c>
    </row>
    <row r="251" spans="1:12" ht="18" customHeight="1" x14ac:dyDescent="0.2">
      <c r="A251" s="24" t="s">
        <v>52</v>
      </c>
      <c r="B251" s="51" t="s">
        <v>811</v>
      </c>
      <c r="C251" s="24" t="s">
        <v>606</v>
      </c>
      <c r="D251" s="43" t="s">
        <v>546</v>
      </c>
      <c r="E251" s="24"/>
      <c r="F251" s="214">
        <v>625</v>
      </c>
      <c r="G251" s="24"/>
      <c r="H251" s="33" t="s">
        <v>693</v>
      </c>
      <c r="I251" s="26" t="s">
        <v>764</v>
      </c>
      <c r="J251" s="29">
        <f t="shared" si="16"/>
        <v>625</v>
      </c>
      <c r="K251" s="29">
        <f>J251</f>
        <v>625</v>
      </c>
      <c r="L251" s="29">
        <f>J251</f>
        <v>625</v>
      </c>
    </row>
    <row r="252" spans="1:12" ht="18" customHeight="1" x14ac:dyDescent="0.2">
      <c r="A252" s="24" t="s">
        <v>52</v>
      </c>
      <c r="B252" s="51" t="s">
        <v>811</v>
      </c>
      <c r="C252" s="24" t="s">
        <v>272</v>
      </c>
      <c r="D252" s="24" t="s">
        <v>273</v>
      </c>
      <c r="E252" s="24"/>
      <c r="F252" s="217">
        <v>48.8</v>
      </c>
      <c r="G252" s="24"/>
      <c r="H252" s="33" t="s">
        <v>693</v>
      </c>
      <c r="I252" s="26" t="s">
        <v>183</v>
      </c>
      <c r="J252" s="30">
        <f>F252</f>
        <v>48.8</v>
      </c>
      <c r="K252" s="30">
        <f>J252</f>
        <v>48.8</v>
      </c>
      <c r="L252" s="30">
        <f>J252</f>
        <v>48.8</v>
      </c>
    </row>
    <row r="253" spans="1:12" ht="18" customHeight="1" x14ac:dyDescent="0.2">
      <c r="A253" s="24" t="s">
        <v>52</v>
      </c>
      <c r="B253" s="51" t="s">
        <v>811</v>
      </c>
      <c r="C253" s="24" t="s">
        <v>276</v>
      </c>
      <c r="D253" s="24" t="s">
        <v>274</v>
      </c>
      <c r="E253" s="24"/>
      <c r="F253" s="34"/>
      <c r="G253" s="24"/>
      <c r="H253" s="24" t="s">
        <v>20</v>
      </c>
      <c r="I253" s="26" t="s">
        <v>275</v>
      </c>
      <c r="J253" s="29">
        <f>J247 * J252</f>
        <v>164418963.0610131</v>
      </c>
      <c r="K253" s="29">
        <f>K247 * K252</f>
        <v>164418963.0610131</v>
      </c>
      <c r="L253" s="29">
        <f>L247 * L252</f>
        <v>164418963.0610131</v>
      </c>
    </row>
    <row r="254" spans="1:12" ht="18" customHeight="1" x14ac:dyDescent="0.2">
      <c r="A254" s="77" t="s">
        <v>284</v>
      </c>
      <c r="B254" s="78"/>
      <c r="C254" s="78"/>
      <c r="D254" s="78"/>
      <c r="E254" s="78"/>
      <c r="F254" s="78"/>
      <c r="G254" s="78"/>
      <c r="H254" s="78"/>
      <c r="I254" s="78"/>
      <c r="J254" s="79"/>
      <c r="K254" s="91"/>
      <c r="L254" s="91"/>
    </row>
    <row r="255" spans="1:12" ht="18" customHeight="1" x14ac:dyDescent="0.2">
      <c r="A255" s="24" t="s">
        <v>52</v>
      </c>
      <c r="B255" s="51" t="s">
        <v>812</v>
      </c>
      <c r="C255" s="24" t="s">
        <v>283</v>
      </c>
      <c r="D255" s="24" t="s">
        <v>285</v>
      </c>
      <c r="E255" s="24"/>
      <c r="F255" s="43"/>
      <c r="G255" s="24"/>
      <c r="H255" s="24" t="s">
        <v>20</v>
      </c>
      <c r="I255" s="26" t="s">
        <v>607</v>
      </c>
      <c r="J255" s="29">
        <f>J76 + J62</f>
        <v>149551281.61435866</v>
      </c>
      <c r="K255" s="29">
        <f>K76 + K62</f>
        <v>88712258.535892919</v>
      </c>
      <c r="L255" s="29">
        <f>L76 + L62</f>
        <v>223330011.27751452</v>
      </c>
    </row>
    <row r="256" spans="1:12" ht="18" customHeight="1" x14ac:dyDescent="0.2">
      <c r="A256" s="24" t="s">
        <v>52</v>
      </c>
      <c r="B256" s="51" t="s">
        <v>813</v>
      </c>
      <c r="C256" s="24" t="s">
        <v>266</v>
      </c>
      <c r="D256" s="24" t="s">
        <v>277</v>
      </c>
      <c r="E256" s="24"/>
      <c r="F256" s="218">
        <v>1.3793183689225668E-5</v>
      </c>
      <c r="G256" s="24"/>
      <c r="H256" s="33" t="s">
        <v>693</v>
      </c>
      <c r="I256" s="26" t="s">
        <v>183</v>
      </c>
      <c r="J256" s="44">
        <f>F256</f>
        <v>1.3793183689225668E-5</v>
      </c>
      <c r="K256" s="44">
        <f>J256</f>
        <v>1.3793183689225668E-5</v>
      </c>
      <c r="L256" s="44">
        <f>J256</f>
        <v>1.3793183689225668E-5</v>
      </c>
    </row>
    <row r="257" spans="1:13" ht="18" customHeight="1" x14ac:dyDescent="0.2">
      <c r="A257" s="24" t="s">
        <v>52</v>
      </c>
      <c r="B257" s="51" t="s">
        <v>813</v>
      </c>
      <c r="C257" s="24" t="s">
        <v>269</v>
      </c>
      <c r="D257" s="24" t="s">
        <v>102</v>
      </c>
      <c r="E257" s="24"/>
      <c r="F257" s="43"/>
      <c r="G257" s="24"/>
      <c r="H257" s="24" t="s">
        <v>20</v>
      </c>
      <c r="I257" s="26" t="s">
        <v>608</v>
      </c>
      <c r="J257" s="29">
        <f>J256 * J255</f>
        <v>2062.7882982659667</v>
      </c>
      <c r="K257" s="29">
        <f>K256 * K255</f>
        <v>1223.6244774716488</v>
      </c>
      <c r="L257" s="29">
        <f>L256 * L255</f>
        <v>3080.4318688675976</v>
      </c>
    </row>
    <row r="258" spans="1:13" ht="18" customHeight="1" x14ac:dyDescent="0.2">
      <c r="A258" s="24" t="s">
        <v>52</v>
      </c>
      <c r="B258" s="51" t="s">
        <v>813</v>
      </c>
      <c r="C258" s="24" t="s">
        <v>493</v>
      </c>
      <c r="D258" s="24" t="s">
        <v>421</v>
      </c>
      <c r="E258" s="24"/>
      <c r="F258" s="34"/>
      <c r="G258" s="24"/>
      <c r="H258" s="24" t="s">
        <v>20</v>
      </c>
      <c r="I258" s="26" t="s">
        <v>185</v>
      </c>
      <c r="J258" s="29">
        <f>J257 * J31</f>
        <v>1361440.2768555379</v>
      </c>
      <c r="K258" s="29">
        <f>K257 * K31</f>
        <v>807592.15513128822</v>
      </c>
      <c r="L258" s="29">
        <f>L257 * L31</f>
        <v>2033085.0334526144</v>
      </c>
    </row>
    <row r="259" spans="1:13" ht="18" customHeight="1" x14ac:dyDescent="0.2">
      <c r="A259" s="24" t="s">
        <v>52</v>
      </c>
      <c r="B259" s="51" t="s">
        <v>813</v>
      </c>
      <c r="C259" s="24" t="s">
        <v>494</v>
      </c>
      <c r="D259" s="24" t="s">
        <v>423</v>
      </c>
      <c r="E259" s="24"/>
      <c r="F259" s="34"/>
      <c r="G259" s="24"/>
      <c r="H259" s="24" t="s">
        <v>20</v>
      </c>
      <c r="I259" s="26" t="s">
        <v>424</v>
      </c>
      <c r="J259" s="27">
        <f>J258 / J50</f>
        <v>4.5080803869388673</v>
      </c>
      <c r="K259" s="27">
        <f>K258 / K50</f>
        <v>2.6741462090440007</v>
      </c>
      <c r="L259" s="27">
        <f>L258 / L50</f>
        <v>6.7320696471940877</v>
      </c>
      <c r="M259" s="18" t="s">
        <v>340</v>
      </c>
    </row>
    <row r="260" spans="1:13" ht="18" customHeight="1" x14ac:dyDescent="0.2">
      <c r="A260" s="24" t="s">
        <v>52</v>
      </c>
      <c r="B260" s="51" t="s">
        <v>814</v>
      </c>
      <c r="C260" s="24" t="s">
        <v>205</v>
      </c>
      <c r="D260" s="24" t="s">
        <v>282</v>
      </c>
      <c r="E260" s="24"/>
      <c r="F260" s="218">
        <v>1.914920522363642E-6</v>
      </c>
      <c r="G260" s="24"/>
      <c r="H260" s="33" t="s">
        <v>693</v>
      </c>
      <c r="I260" s="26" t="s">
        <v>765</v>
      </c>
      <c r="J260" s="44">
        <f>F260</f>
        <v>1.914920522363642E-6</v>
      </c>
      <c r="K260" s="44">
        <f>J260</f>
        <v>1.914920522363642E-6</v>
      </c>
      <c r="L260" s="44">
        <f>J260</f>
        <v>1.914920522363642E-6</v>
      </c>
    </row>
    <row r="261" spans="1:13" ht="18" customHeight="1" x14ac:dyDescent="0.2">
      <c r="A261" s="24" t="s">
        <v>52</v>
      </c>
      <c r="B261" s="51" t="s">
        <v>814</v>
      </c>
      <c r="C261" s="24" t="s">
        <v>207</v>
      </c>
      <c r="D261" s="24" t="s">
        <v>208</v>
      </c>
      <c r="E261" s="24"/>
      <c r="F261" s="32"/>
      <c r="G261" s="24"/>
      <c r="H261" s="24" t="s">
        <v>20</v>
      </c>
      <c r="I261" s="26" t="s">
        <v>286</v>
      </c>
      <c r="J261" s="29">
        <f>J260 * J255</f>
        <v>286.37881830911982</v>
      </c>
      <c r="K261" s="29">
        <f>K260 * K255</f>
        <v>169.87692445561052</v>
      </c>
      <c r="L261" s="29">
        <f>L260 * L255</f>
        <v>427.65922185501614</v>
      </c>
    </row>
    <row r="262" spans="1:13" ht="18" customHeight="1" x14ac:dyDescent="0.2">
      <c r="A262" s="24" t="s">
        <v>52</v>
      </c>
      <c r="B262" s="51" t="s">
        <v>814</v>
      </c>
      <c r="C262" s="24" t="s">
        <v>512</v>
      </c>
      <c r="D262" s="24" t="s">
        <v>513</v>
      </c>
      <c r="E262" s="24"/>
      <c r="F262" s="218">
        <v>0.16813559764183611</v>
      </c>
      <c r="G262" s="24"/>
      <c r="H262" s="33" t="s">
        <v>693</v>
      </c>
      <c r="I262" s="26" t="s">
        <v>757</v>
      </c>
      <c r="J262" s="44">
        <f>F262</f>
        <v>0.16813559764183611</v>
      </c>
      <c r="K262" s="44">
        <f>J262</f>
        <v>0.16813559764183611</v>
      </c>
      <c r="L262" s="44">
        <f>J262</f>
        <v>0.16813559764183611</v>
      </c>
    </row>
    <row r="263" spans="1:13" ht="18" customHeight="1" x14ac:dyDescent="0.2">
      <c r="A263" s="24" t="s">
        <v>52</v>
      </c>
      <c r="B263" s="51" t="s">
        <v>814</v>
      </c>
      <c r="C263" s="24" t="s">
        <v>514</v>
      </c>
      <c r="D263" s="24" t="s">
        <v>515</v>
      </c>
      <c r="E263" s="24"/>
      <c r="F263" s="218">
        <v>1.8096395844748085E-2</v>
      </c>
      <c r="G263" s="24"/>
      <c r="H263" s="33" t="s">
        <v>693</v>
      </c>
      <c r="I263" s="26" t="s">
        <v>757</v>
      </c>
      <c r="J263" s="44">
        <f t="shared" ref="J263:J264" si="17">F263</f>
        <v>1.8096395844748085E-2</v>
      </c>
      <c r="K263" s="44">
        <f>J263</f>
        <v>1.8096395844748085E-2</v>
      </c>
      <c r="L263" s="44">
        <f>J263</f>
        <v>1.8096395844748085E-2</v>
      </c>
    </row>
    <row r="264" spans="1:13" ht="18" customHeight="1" x14ac:dyDescent="0.2">
      <c r="A264" s="24" t="s">
        <v>52</v>
      </c>
      <c r="B264" s="51" t="s">
        <v>814</v>
      </c>
      <c r="C264" s="24" t="s">
        <v>516</v>
      </c>
      <c r="D264" s="24" t="s">
        <v>517</v>
      </c>
      <c r="E264" s="24"/>
      <c r="F264" s="218">
        <v>4.5959731116537071E-6</v>
      </c>
      <c r="G264" s="24"/>
      <c r="H264" s="33" t="s">
        <v>693</v>
      </c>
      <c r="I264" s="26" t="s">
        <v>757</v>
      </c>
      <c r="J264" s="44">
        <f t="shared" si="17"/>
        <v>4.5959731116537071E-6</v>
      </c>
      <c r="K264" s="44">
        <f>J264</f>
        <v>4.5959731116537071E-6</v>
      </c>
      <c r="L264" s="44">
        <f>J264</f>
        <v>4.5959731116537071E-6</v>
      </c>
    </row>
    <row r="265" spans="1:13" ht="18" customHeight="1" x14ac:dyDescent="0.2">
      <c r="A265" s="24" t="s">
        <v>52</v>
      </c>
      <c r="B265" s="51" t="s">
        <v>814</v>
      </c>
      <c r="C265" s="24" t="s">
        <v>518</v>
      </c>
      <c r="D265" s="24" t="s">
        <v>432</v>
      </c>
      <c r="E265" s="24"/>
      <c r="F265" s="43"/>
      <c r="G265" s="24"/>
      <c r="H265" s="24" t="s">
        <v>20</v>
      </c>
      <c r="I265" s="26" t="s">
        <v>519</v>
      </c>
      <c r="J265" s="29">
        <f>J262 * J261</f>
        <v>48.150473768366659</v>
      </c>
      <c r="K265" s="29">
        <f>K262 * K261</f>
        <v>28.562358218901121</v>
      </c>
      <c r="L265" s="29">
        <f>L262 * L261</f>
        <v>71.90473885363572</v>
      </c>
    </row>
    <row r="266" spans="1:13" ht="18" customHeight="1" x14ac:dyDescent="0.2">
      <c r="A266" s="24" t="s">
        <v>52</v>
      </c>
      <c r="B266" s="51" t="s">
        <v>814</v>
      </c>
      <c r="C266" s="24" t="s">
        <v>520</v>
      </c>
      <c r="D266" s="24" t="s">
        <v>609</v>
      </c>
      <c r="E266" s="24"/>
      <c r="F266" s="43"/>
      <c r="G266" s="24"/>
      <c r="H266" s="24" t="s">
        <v>20</v>
      </c>
      <c r="I266" s="26" t="s">
        <v>522</v>
      </c>
      <c r="J266" s="29">
        <f>J263 * J261</f>
        <v>5.1824244576730232</v>
      </c>
      <c r="K266" s="29">
        <f>K263 * K261</f>
        <v>3.0741600698370948</v>
      </c>
      <c r="L266" s="29">
        <f>L263 * L261</f>
        <v>7.7390905653453137</v>
      </c>
    </row>
    <row r="267" spans="1:13" ht="18" customHeight="1" x14ac:dyDescent="0.2">
      <c r="A267" s="24" t="s">
        <v>52</v>
      </c>
      <c r="B267" s="51" t="s">
        <v>814</v>
      </c>
      <c r="C267" s="24" t="s">
        <v>523</v>
      </c>
      <c r="D267" s="24" t="s">
        <v>524</v>
      </c>
      <c r="E267" s="24"/>
      <c r="F267" s="43"/>
      <c r="G267" s="24"/>
      <c r="H267" s="24" t="s">
        <v>20</v>
      </c>
      <c r="I267" s="26" t="s">
        <v>525</v>
      </c>
      <c r="J267" s="29">
        <f>J264 * J261</f>
        <v>1.316189348695877E-3</v>
      </c>
      <c r="K267" s="29">
        <f>K264 * K261</f>
        <v>7.8074977708841398E-4</v>
      </c>
      <c r="L267" s="29">
        <f>L264 * L261</f>
        <v>1.9655102845964017E-3</v>
      </c>
    </row>
    <row r="268" spans="1:13" ht="18" customHeight="1" x14ac:dyDescent="0.2">
      <c r="A268" s="24" t="s">
        <v>52</v>
      </c>
      <c r="B268" s="51" t="s">
        <v>814</v>
      </c>
      <c r="C268" s="24" t="s">
        <v>520</v>
      </c>
      <c r="D268" s="24" t="s">
        <v>421</v>
      </c>
      <c r="E268" s="24"/>
      <c r="F268" s="43"/>
      <c r="G268" s="24"/>
      <c r="H268" s="24" t="s">
        <v>20</v>
      </c>
      <c r="I268" s="26" t="s">
        <v>526</v>
      </c>
      <c r="J268" s="29">
        <f>J266 * '5. Unit Conversions'!D15</f>
        <v>176.20243156088279</v>
      </c>
      <c r="K268" s="29">
        <f>K266 * '5. Unit Conversions'!D15</f>
        <v>104.52144237446122</v>
      </c>
      <c r="L268" s="29">
        <f>L266 * '5. Unit Conversions'!D15</f>
        <v>263.12907922174065</v>
      </c>
    </row>
    <row r="269" spans="1:13" ht="18" customHeight="1" x14ac:dyDescent="0.2">
      <c r="A269" s="24" t="s">
        <v>52</v>
      </c>
      <c r="B269" s="51" t="s">
        <v>814</v>
      </c>
      <c r="C269" s="24" t="s">
        <v>523</v>
      </c>
      <c r="D269" s="24" t="s">
        <v>421</v>
      </c>
      <c r="E269" s="24"/>
      <c r="F269" s="43"/>
      <c r="G269" s="24"/>
      <c r="H269" s="24" t="s">
        <v>20</v>
      </c>
      <c r="I269" s="26" t="s">
        <v>527</v>
      </c>
      <c r="J269" s="29">
        <f>J267 * '5. Unit Conversions'!D16</f>
        <v>0.39222442591137135</v>
      </c>
      <c r="K269" s="29">
        <f>K267 * '5. Unit Conversions'!D16</f>
        <v>0.23266343357234737</v>
      </c>
      <c r="L269" s="29">
        <f>L267 * '5. Unit Conversions'!D16</f>
        <v>0.58572206480972777</v>
      </c>
    </row>
    <row r="270" spans="1:13" ht="18" customHeight="1" x14ac:dyDescent="0.2">
      <c r="A270" s="24" t="s">
        <v>52</v>
      </c>
      <c r="B270" s="51" t="s">
        <v>814</v>
      </c>
      <c r="C270" s="24" t="s">
        <v>493</v>
      </c>
      <c r="D270" s="24" t="s">
        <v>421</v>
      </c>
      <c r="E270" s="24"/>
      <c r="F270" s="43"/>
      <c r="G270" s="24"/>
      <c r="H270" s="24" t="s">
        <v>20</v>
      </c>
      <c r="I270" s="26" t="s">
        <v>528</v>
      </c>
      <c r="J270" s="29">
        <f>J265 + J268 + J269</f>
        <v>224.7451297551608</v>
      </c>
      <c r="K270" s="29">
        <f>K265 + K268 + K269</f>
        <v>133.31646402693468</v>
      </c>
      <c r="L270" s="29">
        <f>L265 + L268 + L269</f>
        <v>335.61954014018607</v>
      </c>
    </row>
    <row r="271" spans="1:13" ht="18" customHeight="1" x14ac:dyDescent="0.2">
      <c r="A271" s="24" t="s">
        <v>52</v>
      </c>
      <c r="B271" s="51" t="s">
        <v>814</v>
      </c>
      <c r="C271" s="24" t="s">
        <v>494</v>
      </c>
      <c r="D271" s="24" t="s">
        <v>423</v>
      </c>
      <c r="E271" s="24"/>
      <c r="F271" s="43"/>
      <c r="G271" s="24"/>
      <c r="H271" s="24" t="s">
        <v>20</v>
      </c>
      <c r="I271" s="26" t="s">
        <v>424</v>
      </c>
      <c r="J271" s="56">
        <f>J270 / J50</f>
        <v>7.441891713747046E-4</v>
      </c>
      <c r="K271" s="56">
        <f>K270 / K50</f>
        <v>4.4144524512230028E-4</v>
      </c>
      <c r="L271" s="56">
        <f>L270 / L50</f>
        <v>1.1113229805966426E-3</v>
      </c>
      <c r="M271" s="18" t="s">
        <v>340</v>
      </c>
    </row>
    <row r="272" spans="1:13" ht="18" customHeight="1" x14ac:dyDescent="0.2">
      <c r="A272" s="24" t="s">
        <v>52</v>
      </c>
      <c r="B272" s="51" t="s">
        <v>815</v>
      </c>
      <c r="C272" s="24" t="s">
        <v>529</v>
      </c>
      <c r="D272" s="24" t="s">
        <v>530</v>
      </c>
      <c r="E272" s="43"/>
      <c r="F272" s="218">
        <v>2.7460222910079564</v>
      </c>
      <c r="G272" s="43"/>
      <c r="H272" s="33" t="s">
        <v>693</v>
      </c>
      <c r="I272" s="26" t="s">
        <v>758</v>
      </c>
      <c r="J272" s="44">
        <f>F272</f>
        <v>2.7460222910079564</v>
      </c>
      <c r="K272" s="44">
        <f>J272</f>
        <v>2.7460222910079564</v>
      </c>
      <c r="L272" s="44">
        <f>J272:J273</f>
        <v>2.7460222910079564</v>
      </c>
    </row>
    <row r="273" spans="1:13" ht="18" customHeight="1" x14ac:dyDescent="0.2">
      <c r="A273" s="24" t="s">
        <v>52</v>
      </c>
      <c r="B273" s="51" t="s">
        <v>815</v>
      </c>
      <c r="C273" s="24" t="s">
        <v>531</v>
      </c>
      <c r="D273" s="24" t="s">
        <v>532</v>
      </c>
      <c r="E273" s="43"/>
      <c r="F273" s="218">
        <v>5.2632093910985827E-5</v>
      </c>
      <c r="G273" s="43"/>
      <c r="H273" s="33" t="s">
        <v>693</v>
      </c>
      <c r="I273" s="26" t="s">
        <v>758</v>
      </c>
      <c r="J273" s="44">
        <f t="shared" ref="J273:J274" si="18">F273</f>
        <v>5.2632093910985827E-5</v>
      </c>
      <c r="K273" s="44">
        <f>J273</f>
        <v>5.2632093910985827E-5</v>
      </c>
      <c r="L273" s="44">
        <f>J273:J274</f>
        <v>5.2632093910985827E-5</v>
      </c>
    </row>
    <row r="274" spans="1:13" ht="18" customHeight="1" x14ac:dyDescent="0.2">
      <c r="A274" s="24" t="s">
        <v>52</v>
      </c>
      <c r="B274" s="51" t="s">
        <v>815</v>
      </c>
      <c r="C274" s="24" t="s">
        <v>533</v>
      </c>
      <c r="D274" s="24" t="s">
        <v>534</v>
      </c>
      <c r="E274" s="43"/>
      <c r="F274" s="218">
        <v>5.0343742001812527E-5</v>
      </c>
      <c r="G274" s="43"/>
      <c r="H274" s="33" t="s">
        <v>693</v>
      </c>
      <c r="I274" s="26" t="s">
        <v>758</v>
      </c>
      <c r="J274" s="44">
        <f t="shared" si="18"/>
        <v>5.0343742001812527E-5</v>
      </c>
      <c r="K274" s="44">
        <f>J274</f>
        <v>5.0343742001812527E-5</v>
      </c>
      <c r="L274" s="44">
        <f>J274:J275</f>
        <v>5.0343742001812527E-5</v>
      </c>
    </row>
    <row r="275" spans="1:13" ht="18" customHeight="1" x14ac:dyDescent="0.2">
      <c r="A275" s="24" t="s">
        <v>52</v>
      </c>
      <c r="B275" s="51" t="s">
        <v>815</v>
      </c>
      <c r="C275" s="24" t="s">
        <v>535</v>
      </c>
      <c r="D275" s="24" t="s">
        <v>432</v>
      </c>
      <c r="E275" s="24"/>
      <c r="F275" s="43"/>
      <c r="G275" s="24"/>
      <c r="H275" s="24" t="s">
        <v>20</v>
      </c>
      <c r="I275" s="26" t="s">
        <v>536</v>
      </c>
      <c r="J275" s="29">
        <f>J272 * J261</f>
        <v>786.4026187493605</v>
      </c>
      <c r="K275" s="29">
        <f>K272 * K261</f>
        <v>466.48582128298114</v>
      </c>
      <c r="L275" s="29">
        <f>L272 * L261</f>
        <v>1174.3617561689914</v>
      </c>
    </row>
    <row r="276" spans="1:13" ht="18" customHeight="1" x14ac:dyDescent="0.2">
      <c r="A276" s="24" t="s">
        <v>52</v>
      </c>
      <c r="B276" s="51" t="s">
        <v>815</v>
      </c>
      <c r="C276" s="24" t="s">
        <v>537</v>
      </c>
      <c r="D276" s="24" t="s">
        <v>521</v>
      </c>
      <c r="E276" s="24"/>
      <c r="F276" s="43"/>
      <c r="G276" s="24"/>
      <c r="H276" s="24" t="s">
        <v>20</v>
      </c>
      <c r="I276" s="26" t="s">
        <v>538</v>
      </c>
      <c r="J276" s="57">
        <f>J273 * J261</f>
        <v>1.5072716859362742E-2</v>
      </c>
      <c r="K276" s="57">
        <f>K273 * K261</f>
        <v>8.940978241257138E-3</v>
      </c>
      <c r="L276" s="57">
        <f>L273 * L261</f>
        <v>2.2508600326572332E-2</v>
      </c>
    </row>
    <row r="277" spans="1:13" ht="18" customHeight="1" x14ac:dyDescent="0.2">
      <c r="A277" s="24" t="s">
        <v>52</v>
      </c>
      <c r="B277" s="51" t="s">
        <v>815</v>
      </c>
      <c r="C277" s="24" t="s">
        <v>539</v>
      </c>
      <c r="D277" s="24" t="s">
        <v>524</v>
      </c>
      <c r="E277" s="24"/>
      <c r="F277" s="43"/>
      <c r="G277" s="24"/>
      <c r="H277" s="24" t="s">
        <v>20</v>
      </c>
      <c r="I277" s="26" t="s">
        <v>540</v>
      </c>
      <c r="J277" s="57">
        <f>J274 * J261</f>
        <v>1.4417381343738274E-2</v>
      </c>
      <c r="K277" s="57">
        <f>K274 * K261</f>
        <v>8.5522400568546538E-3</v>
      </c>
      <c r="L277" s="57">
        <f>L274 * L261</f>
        <v>2.1529965529764838E-2</v>
      </c>
    </row>
    <row r="278" spans="1:13" ht="18" customHeight="1" x14ac:dyDescent="0.2">
      <c r="A278" s="24" t="s">
        <v>52</v>
      </c>
      <c r="B278" s="51" t="s">
        <v>815</v>
      </c>
      <c r="C278" s="24" t="s">
        <v>537</v>
      </c>
      <c r="D278" s="24" t="s">
        <v>421</v>
      </c>
      <c r="E278" s="24"/>
      <c r="F278" s="43"/>
      <c r="G278" s="24"/>
      <c r="H278" s="24" t="s">
        <v>20</v>
      </c>
      <c r="I278" s="26" t="s">
        <v>526</v>
      </c>
      <c r="J278" s="30">
        <f>J276 * '5. Unit Conversions'!D15</f>
        <v>0.51247237321833328</v>
      </c>
      <c r="K278" s="30">
        <f>K276 * '5. Unit Conversions'!D15</f>
        <v>0.3039932602027427</v>
      </c>
      <c r="L278" s="30">
        <f>L276 * '5. Unit Conversions'!D15</f>
        <v>0.76529241110345925</v>
      </c>
    </row>
    <row r="279" spans="1:13" ht="18" customHeight="1" x14ac:dyDescent="0.2">
      <c r="A279" s="24" t="s">
        <v>52</v>
      </c>
      <c r="B279" s="51" t="s">
        <v>815</v>
      </c>
      <c r="C279" s="24" t="s">
        <v>541</v>
      </c>
      <c r="D279" s="24" t="s">
        <v>421</v>
      </c>
      <c r="E279" s="24"/>
      <c r="F279" s="43"/>
      <c r="G279" s="24"/>
      <c r="H279" s="24" t="s">
        <v>20</v>
      </c>
      <c r="I279" s="26" t="s">
        <v>527</v>
      </c>
      <c r="J279" s="30">
        <f>J277 * '5. Unit Conversions'!D16</f>
        <v>4.2963796404340053</v>
      </c>
      <c r="K279" s="30">
        <f>K277 * '5. Unit Conversions'!D16</f>
        <v>2.548567536942687</v>
      </c>
      <c r="L279" s="30">
        <f>L277 * '5. Unit Conversions'!D16</f>
        <v>6.4159297278699219</v>
      </c>
    </row>
    <row r="280" spans="1:13" ht="18" customHeight="1" x14ac:dyDescent="0.2">
      <c r="A280" s="24" t="s">
        <v>52</v>
      </c>
      <c r="B280" s="51" t="s">
        <v>815</v>
      </c>
      <c r="C280" s="24" t="s">
        <v>493</v>
      </c>
      <c r="D280" s="24" t="s">
        <v>421</v>
      </c>
      <c r="E280" s="24"/>
      <c r="F280" s="43"/>
      <c r="G280" s="24"/>
      <c r="H280" s="24" t="s">
        <v>20</v>
      </c>
      <c r="I280" s="26" t="s">
        <v>528</v>
      </c>
      <c r="J280" s="29">
        <f>J275 + J278 + J279</f>
        <v>791.21147076301281</v>
      </c>
      <c r="K280" s="29">
        <f>K275 + K278 + K279</f>
        <v>469.33838208012656</v>
      </c>
      <c r="L280" s="29">
        <f>L275 + L278 + L279</f>
        <v>1181.5429783079649</v>
      </c>
    </row>
    <row r="281" spans="1:13" ht="18" customHeight="1" x14ac:dyDescent="0.2">
      <c r="A281" s="24" t="s">
        <v>52</v>
      </c>
      <c r="B281" s="51" t="s">
        <v>815</v>
      </c>
      <c r="C281" s="24" t="s">
        <v>494</v>
      </c>
      <c r="D281" s="24" t="s">
        <v>423</v>
      </c>
      <c r="E281" s="24"/>
      <c r="F281" s="43"/>
      <c r="G281" s="24"/>
      <c r="H281" s="24" t="s">
        <v>20</v>
      </c>
      <c r="I281" s="26" t="s">
        <v>424</v>
      </c>
      <c r="J281" s="35">
        <f>J280 / J50</f>
        <v>2.6199055323278572E-3</v>
      </c>
      <c r="K281" s="35">
        <f>K280 / K50</f>
        <v>1.5541006029143264E-3</v>
      </c>
      <c r="L281" s="35">
        <f>L280 / L50</f>
        <v>3.9123939679071686E-3</v>
      </c>
      <c r="M281" s="18" t="s">
        <v>340</v>
      </c>
    </row>
    <row r="282" spans="1:13" ht="18" customHeight="1" x14ac:dyDescent="0.2">
      <c r="A282" s="24" t="s">
        <v>52</v>
      </c>
      <c r="B282" s="51" t="s">
        <v>816</v>
      </c>
      <c r="C282" s="24" t="s">
        <v>585</v>
      </c>
      <c r="D282" s="24" t="s">
        <v>418</v>
      </c>
      <c r="E282" s="24"/>
      <c r="F282" s="218">
        <v>1.3243879995688858E-3</v>
      </c>
      <c r="G282" s="24"/>
      <c r="H282" s="33" t="s">
        <v>693</v>
      </c>
      <c r="I282" s="26" t="s">
        <v>766</v>
      </c>
      <c r="J282" s="44">
        <f>F282</f>
        <v>1.3243879995688858E-3</v>
      </c>
      <c r="K282" s="44">
        <f>J282</f>
        <v>1.3243879995688858E-3</v>
      </c>
      <c r="L282" s="44">
        <f>J282</f>
        <v>1.3243879995688858E-3</v>
      </c>
    </row>
    <row r="283" spans="1:13" ht="18" customHeight="1" x14ac:dyDescent="0.2">
      <c r="A283" s="24" t="s">
        <v>52</v>
      </c>
      <c r="B283" s="51" t="s">
        <v>816</v>
      </c>
      <c r="C283" s="24" t="s">
        <v>610</v>
      </c>
      <c r="D283" s="24" t="s">
        <v>611</v>
      </c>
      <c r="E283" s="24"/>
      <c r="F283" s="218">
        <v>3.6011283026772217E-3</v>
      </c>
      <c r="G283" s="24"/>
      <c r="H283" s="33" t="s">
        <v>693</v>
      </c>
      <c r="I283" s="26" t="s">
        <v>766</v>
      </c>
      <c r="J283" s="44">
        <f t="shared" ref="J283:J284" si="19">F283</f>
        <v>3.6011283026772217E-3</v>
      </c>
      <c r="K283" s="44">
        <f>J283</f>
        <v>3.6011283026772217E-3</v>
      </c>
      <c r="L283" s="44">
        <f>J283</f>
        <v>3.6011283026772217E-3</v>
      </c>
    </row>
    <row r="284" spans="1:13" ht="18" customHeight="1" x14ac:dyDescent="0.2">
      <c r="A284" s="24" t="s">
        <v>52</v>
      </c>
      <c r="B284" s="51" t="s">
        <v>816</v>
      </c>
      <c r="C284" s="24" t="s">
        <v>612</v>
      </c>
      <c r="D284" s="24" t="s">
        <v>613</v>
      </c>
      <c r="E284" s="24"/>
      <c r="F284" s="218">
        <v>6.2947277773496187E-3</v>
      </c>
      <c r="G284" s="24"/>
      <c r="H284" s="33" t="s">
        <v>693</v>
      </c>
      <c r="I284" s="26" t="s">
        <v>766</v>
      </c>
      <c r="J284" s="44">
        <f t="shared" si="19"/>
        <v>6.2947277773496187E-3</v>
      </c>
      <c r="K284" s="44">
        <f>J284</f>
        <v>6.2947277773496187E-3</v>
      </c>
      <c r="L284" s="44">
        <f>J284</f>
        <v>6.2947277773496187E-3</v>
      </c>
    </row>
    <row r="285" spans="1:13" ht="18" customHeight="1" x14ac:dyDescent="0.2">
      <c r="A285" s="24" t="s">
        <v>52</v>
      </c>
      <c r="B285" s="51" t="s">
        <v>816</v>
      </c>
      <c r="C285" s="24" t="s">
        <v>594</v>
      </c>
      <c r="D285" s="24" t="s">
        <v>595</v>
      </c>
      <c r="E285" s="24"/>
      <c r="F285" s="43"/>
      <c r="G285" s="24"/>
      <c r="H285" s="24" t="s">
        <v>20</v>
      </c>
      <c r="I285" s="26" t="s">
        <v>278</v>
      </c>
      <c r="J285" s="29">
        <f>J282 * J255</f>
        <v>198063.92269020356</v>
      </c>
      <c r="K285" s="29">
        <f>K282 * K255</f>
        <v>117489.45061958903</v>
      </c>
      <c r="L285" s="29">
        <f>L282 * L255</f>
        <v>295775.58687952417</v>
      </c>
    </row>
    <row r="286" spans="1:13" ht="18" customHeight="1" x14ac:dyDescent="0.2">
      <c r="A286" s="24" t="s">
        <v>52</v>
      </c>
      <c r="B286" s="51" t="s">
        <v>816</v>
      </c>
      <c r="C286" s="24" t="s">
        <v>614</v>
      </c>
      <c r="D286" s="24" t="s">
        <v>598</v>
      </c>
      <c r="E286" s="24"/>
      <c r="F286" s="43"/>
      <c r="G286" s="24"/>
      <c r="H286" s="24" t="s">
        <v>20</v>
      </c>
      <c r="I286" s="26" t="s">
        <v>278</v>
      </c>
      <c r="J286" s="29">
        <f>J283 * J255</f>
        <v>538553.35292311863</v>
      </c>
      <c r="K286" s="29">
        <f>K283 * K255</f>
        <v>319464.22500802291</v>
      </c>
      <c r="L286" s="29">
        <f>L283 * L255</f>
        <v>804240.02444868069</v>
      </c>
    </row>
    <row r="287" spans="1:13" ht="18" customHeight="1" x14ac:dyDescent="0.2">
      <c r="A287" s="24" t="s">
        <v>52</v>
      </c>
      <c r="B287" s="51" t="s">
        <v>816</v>
      </c>
      <c r="C287" s="24" t="s">
        <v>615</v>
      </c>
      <c r="D287" s="24" t="s">
        <v>616</v>
      </c>
      <c r="E287" s="24"/>
      <c r="F287" s="43"/>
      <c r="G287" s="24"/>
      <c r="H287" s="24" t="s">
        <v>20</v>
      </c>
      <c r="I287" s="26" t="s">
        <v>278</v>
      </c>
      <c r="J287" s="29">
        <f>J284 * J255</f>
        <v>941384.60651613877</v>
      </c>
      <c r="K287" s="29">
        <f>K284 * K255</f>
        <v>558419.51799730596</v>
      </c>
      <c r="L287" s="29">
        <f>L284 * L255</f>
        <v>1405801.6255043743</v>
      </c>
    </row>
    <row r="288" spans="1:13" ht="18" customHeight="1" x14ac:dyDescent="0.2">
      <c r="A288" s="24" t="s">
        <v>52</v>
      </c>
      <c r="B288" s="51" t="s">
        <v>816</v>
      </c>
      <c r="C288" s="24" t="s">
        <v>617</v>
      </c>
      <c r="D288" s="24" t="s">
        <v>618</v>
      </c>
      <c r="E288" s="24"/>
      <c r="F288" s="217">
        <v>50.3</v>
      </c>
      <c r="G288" s="24"/>
      <c r="H288" s="33" t="s">
        <v>693</v>
      </c>
      <c r="I288" s="26" t="s">
        <v>183</v>
      </c>
      <c r="J288" s="27">
        <f>F288</f>
        <v>50.3</v>
      </c>
      <c r="K288" s="27">
        <f>J288</f>
        <v>50.3</v>
      </c>
      <c r="L288" s="27">
        <f>J288</f>
        <v>50.3</v>
      </c>
    </row>
    <row r="289" spans="1:13" ht="18" customHeight="1" x14ac:dyDescent="0.2">
      <c r="A289" s="24" t="s">
        <v>52</v>
      </c>
      <c r="B289" s="51" t="s">
        <v>816</v>
      </c>
      <c r="C289" s="24" t="s">
        <v>619</v>
      </c>
      <c r="D289" s="24" t="s">
        <v>620</v>
      </c>
      <c r="E289" s="24"/>
      <c r="F289" s="217">
        <v>48.6</v>
      </c>
      <c r="G289" s="24"/>
      <c r="H289" s="33" t="s">
        <v>693</v>
      </c>
      <c r="I289" s="26" t="s">
        <v>183</v>
      </c>
      <c r="J289" s="27">
        <f t="shared" ref="J289:J290" si="20">F289</f>
        <v>48.6</v>
      </c>
      <c r="K289" s="27">
        <f>J289</f>
        <v>48.6</v>
      </c>
      <c r="L289" s="27">
        <f>J289</f>
        <v>48.6</v>
      </c>
    </row>
    <row r="290" spans="1:13" ht="18" customHeight="1" x14ac:dyDescent="0.2">
      <c r="A290" s="24" t="s">
        <v>52</v>
      </c>
      <c r="B290" s="51" t="s">
        <v>816</v>
      </c>
      <c r="C290" s="24" t="s">
        <v>621</v>
      </c>
      <c r="D290" s="24" t="s">
        <v>622</v>
      </c>
      <c r="E290" s="24"/>
      <c r="F290" s="217">
        <v>50.2</v>
      </c>
      <c r="G290" s="24"/>
      <c r="H290" s="33" t="s">
        <v>693</v>
      </c>
      <c r="I290" s="26" t="s">
        <v>183</v>
      </c>
      <c r="J290" s="27">
        <f t="shared" si="20"/>
        <v>50.2</v>
      </c>
      <c r="K290" s="27">
        <f>J290</f>
        <v>50.2</v>
      </c>
      <c r="L290" s="27">
        <f>J290</f>
        <v>50.2</v>
      </c>
    </row>
    <row r="291" spans="1:13" ht="18" customHeight="1" x14ac:dyDescent="0.2">
      <c r="A291" s="24" t="s">
        <v>52</v>
      </c>
      <c r="B291" s="51" t="s">
        <v>816</v>
      </c>
      <c r="C291" s="24" t="s">
        <v>623</v>
      </c>
      <c r="D291" s="24" t="s">
        <v>274</v>
      </c>
      <c r="E291" s="24"/>
      <c r="F291" s="43"/>
      <c r="G291" s="24"/>
      <c r="H291" s="24" t="s">
        <v>20</v>
      </c>
      <c r="I291" s="26" t="s">
        <v>279</v>
      </c>
      <c r="J291" s="29">
        <f>J285 * J288</f>
        <v>9962615.311317239</v>
      </c>
      <c r="K291" s="29">
        <f>K285 * K288</f>
        <v>5909719.3661653278</v>
      </c>
      <c r="L291" s="29">
        <f>L285 * L288</f>
        <v>14877512.020040065</v>
      </c>
    </row>
    <row r="292" spans="1:13" ht="18" customHeight="1" x14ac:dyDescent="0.2">
      <c r="A292" s="24" t="s">
        <v>52</v>
      </c>
      <c r="B292" s="51" t="s">
        <v>816</v>
      </c>
      <c r="C292" s="24" t="s">
        <v>624</v>
      </c>
      <c r="D292" s="24" t="s">
        <v>274</v>
      </c>
      <c r="E292" s="24"/>
      <c r="F292" s="43"/>
      <c r="G292" s="24"/>
      <c r="H292" s="24" t="s">
        <v>20</v>
      </c>
      <c r="I292" s="26" t="s">
        <v>280</v>
      </c>
      <c r="J292" s="29">
        <f t="shared" ref="J292:K293" si="21">J286 * J289</f>
        <v>26173692.952063564</v>
      </c>
      <c r="K292" s="29">
        <f t="shared" si="21"/>
        <v>15525961.335389914</v>
      </c>
      <c r="L292" s="29">
        <f t="shared" ref="L292" si="22">L286 * L289</f>
        <v>39086065.188205883</v>
      </c>
    </row>
    <row r="293" spans="1:13" ht="18" customHeight="1" x14ac:dyDescent="0.2">
      <c r="A293" s="24" t="s">
        <v>52</v>
      </c>
      <c r="B293" s="51" t="s">
        <v>816</v>
      </c>
      <c r="C293" s="24" t="s">
        <v>625</v>
      </c>
      <c r="D293" s="24" t="s">
        <v>274</v>
      </c>
      <c r="E293" s="24"/>
      <c r="F293" s="43"/>
      <c r="G293" s="24"/>
      <c r="H293" s="24" t="s">
        <v>20</v>
      </c>
      <c r="I293" s="26" t="s">
        <v>281</v>
      </c>
      <c r="J293" s="29">
        <f t="shared" si="21"/>
        <v>47257507.247110166</v>
      </c>
      <c r="K293" s="29">
        <f t="shared" si="21"/>
        <v>28032659.803464759</v>
      </c>
      <c r="L293" s="29">
        <f t="shared" ref="L293" si="23">L287 * L290</f>
        <v>70571241.600319594</v>
      </c>
    </row>
    <row r="294" spans="1:13" ht="18" customHeight="1" x14ac:dyDescent="0.2">
      <c r="A294" s="77" t="s">
        <v>287</v>
      </c>
      <c r="B294" s="78"/>
      <c r="C294" s="78"/>
      <c r="D294" s="78"/>
      <c r="E294" s="78"/>
      <c r="F294" s="78"/>
      <c r="G294" s="78"/>
      <c r="H294" s="78"/>
      <c r="I294" s="78"/>
      <c r="J294" s="79"/>
      <c r="K294" s="91"/>
      <c r="L294" s="91"/>
    </row>
    <row r="295" spans="1:13" ht="18" customHeight="1" x14ac:dyDescent="0.2">
      <c r="A295" s="24" t="s">
        <v>52</v>
      </c>
      <c r="B295" s="51" t="s">
        <v>817</v>
      </c>
      <c r="C295" s="24" t="s">
        <v>296</v>
      </c>
      <c r="D295" s="24" t="s">
        <v>626</v>
      </c>
      <c r="E295" s="24"/>
      <c r="F295" s="43"/>
      <c r="G295" s="24"/>
      <c r="H295" s="24" t="s">
        <v>20</v>
      </c>
      <c r="I295" s="26" t="s">
        <v>607</v>
      </c>
      <c r="J295" s="29">
        <f>J76 + J62</f>
        <v>149551281.61435866</v>
      </c>
      <c r="K295" s="29">
        <f>K76 + K62</f>
        <v>88712258.535892919</v>
      </c>
      <c r="L295" s="29">
        <f>L76 + L62</f>
        <v>223330011.27751452</v>
      </c>
    </row>
    <row r="296" spans="1:13" ht="18" customHeight="1" x14ac:dyDescent="0.2">
      <c r="A296" s="24" t="s">
        <v>52</v>
      </c>
      <c r="B296" s="51" t="s">
        <v>818</v>
      </c>
      <c r="C296" s="24" t="s">
        <v>295</v>
      </c>
      <c r="D296" s="24" t="s">
        <v>297</v>
      </c>
      <c r="E296" s="24"/>
      <c r="F296" s="218">
        <v>1.9912857962442876E-5</v>
      </c>
      <c r="G296" s="24"/>
      <c r="H296" s="33" t="s">
        <v>693</v>
      </c>
      <c r="I296" s="26" t="s">
        <v>767</v>
      </c>
      <c r="J296" s="44">
        <f>F296</f>
        <v>1.9912857962442876E-5</v>
      </c>
      <c r="K296" s="44">
        <f>J296</f>
        <v>1.9912857962442876E-5</v>
      </c>
      <c r="L296" s="44">
        <f>J296</f>
        <v>1.9912857962442876E-5</v>
      </c>
    </row>
    <row r="297" spans="1:13" ht="18" customHeight="1" x14ac:dyDescent="0.2">
      <c r="A297" s="24" t="s">
        <v>52</v>
      </c>
      <c r="B297" s="51" t="s">
        <v>818</v>
      </c>
      <c r="C297" s="24" t="s">
        <v>298</v>
      </c>
      <c r="D297" s="24" t="s">
        <v>102</v>
      </c>
      <c r="E297" s="24"/>
      <c r="F297" s="25"/>
      <c r="G297" s="24"/>
      <c r="H297" s="24" t="s">
        <v>20</v>
      </c>
      <c r="I297" s="26" t="s">
        <v>299</v>
      </c>
      <c r="J297" s="29">
        <f>J296 * J295</f>
        <v>2977.993428888019</v>
      </c>
      <c r="K297" s="29">
        <f>K296 * K295</f>
        <v>1766.5146037527463</v>
      </c>
      <c r="L297" s="29">
        <f>L296 * L295</f>
        <v>4447.1387933199121</v>
      </c>
    </row>
    <row r="298" spans="1:13" ht="18" customHeight="1" x14ac:dyDescent="0.2">
      <c r="A298" s="24" t="s">
        <v>52</v>
      </c>
      <c r="B298" s="51" t="s">
        <v>818</v>
      </c>
      <c r="C298" s="24" t="s">
        <v>493</v>
      </c>
      <c r="D298" s="24" t="s">
        <v>421</v>
      </c>
      <c r="E298" s="24"/>
      <c r="F298" s="34"/>
      <c r="G298" s="24"/>
      <c r="H298" s="24" t="s">
        <v>20</v>
      </c>
      <c r="I298" s="26" t="s">
        <v>185</v>
      </c>
      <c r="J298" s="29">
        <f>J297 * J31</f>
        <v>1965475.6630660926</v>
      </c>
      <c r="K298" s="29">
        <f>K297 * K31</f>
        <v>1165899.6384768125</v>
      </c>
      <c r="L298" s="29">
        <f>L297 * L31</f>
        <v>2935111.6035911422</v>
      </c>
    </row>
    <row r="299" spans="1:13" ht="18" customHeight="1" x14ac:dyDescent="0.2">
      <c r="A299" s="24" t="s">
        <v>52</v>
      </c>
      <c r="B299" s="51" t="s">
        <v>818</v>
      </c>
      <c r="C299" s="24" t="s">
        <v>494</v>
      </c>
      <c r="D299" s="24" t="s">
        <v>423</v>
      </c>
      <c r="E299" s="24"/>
      <c r="F299" s="34"/>
      <c r="G299" s="24"/>
      <c r="H299" s="24" t="s">
        <v>20</v>
      </c>
      <c r="I299" s="26" t="s">
        <v>424</v>
      </c>
      <c r="J299" s="27">
        <f>J298 / J50</f>
        <v>6.5081975598214985</v>
      </c>
      <c r="K299" s="27">
        <f>K298 / K50</f>
        <v>3.8605948293934191</v>
      </c>
      <c r="L299" s="27">
        <f>L298 / L50</f>
        <v>9.7189125946726556</v>
      </c>
      <c r="M299" s="18" t="s">
        <v>341</v>
      </c>
    </row>
    <row r="300" spans="1:13" ht="18" customHeight="1" x14ac:dyDescent="0.2">
      <c r="A300" s="24" t="s">
        <v>52</v>
      </c>
      <c r="B300" s="51" t="s">
        <v>819</v>
      </c>
      <c r="C300" s="24" t="s">
        <v>300</v>
      </c>
      <c r="D300" s="24" t="s">
        <v>627</v>
      </c>
      <c r="E300" s="24"/>
      <c r="F300" s="218">
        <v>3.2948351324482598E-5</v>
      </c>
      <c r="G300" s="24"/>
      <c r="H300" s="33" t="s">
        <v>693</v>
      </c>
      <c r="I300" s="26" t="s">
        <v>767</v>
      </c>
      <c r="J300" s="44">
        <f>F300</f>
        <v>3.2948351324482598E-5</v>
      </c>
      <c r="K300" s="44">
        <f>J300</f>
        <v>3.2948351324482598E-5</v>
      </c>
      <c r="L300" s="44">
        <f>J300</f>
        <v>3.2948351324482598E-5</v>
      </c>
    </row>
    <row r="301" spans="1:13" ht="18" customHeight="1" x14ac:dyDescent="0.2">
      <c r="A301" s="24" t="s">
        <v>52</v>
      </c>
      <c r="B301" s="51" t="s">
        <v>819</v>
      </c>
      <c r="C301" s="24" t="s">
        <v>493</v>
      </c>
      <c r="D301" s="24" t="s">
        <v>421</v>
      </c>
      <c r="E301" s="24"/>
      <c r="F301" s="34"/>
      <c r="G301" s="24"/>
      <c r="H301" s="24" t="s">
        <v>20</v>
      </c>
      <c r="I301" s="26" t="s">
        <v>301</v>
      </c>
      <c r="J301" s="29">
        <f>J300 * J295</f>
        <v>4927.4681676565242</v>
      </c>
      <c r="K301" s="29">
        <f>K300 * K295</f>
        <v>2922.9226610289302</v>
      </c>
      <c r="L301" s="29">
        <f>L300 * L295</f>
        <v>7358.3556728722087</v>
      </c>
    </row>
    <row r="302" spans="1:13" ht="18" customHeight="1" x14ac:dyDescent="0.2">
      <c r="A302" s="24" t="s">
        <v>52</v>
      </c>
      <c r="B302" s="51" t="s">
        <v>819</v>
      </c>
      <c r="C302" s="24" t="s">
        <v>494</v>
      </c>
      <c r="D302" s="24" t="s">
        <v>423</v>
      </c>
      <c r="E302" s="24"/>
      <c r="F302" s="34"/>
      <c r="G302" s="24"/>
      <c r="H302" s="24" t="s">
        <v>20</v>
      </c>
      <c r="I302" s="26" t="s">
        <v>424</v>
      </c>
      <c r="J302" s="42">
        <f>J301 / J50</f>
        <v>1.6316119760452066E-2</v>
      </c>
      <c r="K302" s="42">
        <f>K301 / K50</f>
        <v>9.6785518577116886E-3</v>
      </c>
      <c r="L302" s="42">
        <f>L301 / L50</f>
        <v>2.4365416135338439E-2</v>
      </c>
      <c r="M302" s="18" t="s">
        <v>341</v>
      </c>
    </row>
    <row r="303" spans="1:13" ht="18" customHeight="1" x14ac:dyDescent="0.2">
      <c r="A303" s="24" t="s">
        <v>52</v>
      </c>
      <c r="B303" s="51" t="s">
        <v>820</v>
      </c>
      <c r="C303" s="24" t="s">
        <v>628</v>
      </c>
      <c r="D303" s="24" t="s">
        <v>629</v>
      </c>
      <c r="E303" s="24"/>
      <c r="F303" s="218">
        <v>1.9263417572668303E-4</v>
      </c>
      <c r="G303" s="24"/>
      <c r="H303" s="33" t="s">
        <v>693</v>
      </c>
      <c r="I303" s="26" t="s">
        <v>768</v>
      </c>
      <c r="J303" s="44">
        <f>F303</f>
        <v>1.9263417572668303E-4</v>
      </c>
      <c r="K303" s="44">
        <f>J303</f>
        <v>1.9263417572668303E-4</v>
      </c>
      <c r="L303" s="44">
        <f>J303</f>
        <v>1.9263417572668303E-4</v>
      </c>
    </row>
    <row r="304" spans="1:13" ht="18" customHeight="1" x14ac:dyDescent="0.2">
      <c r="A304" s="24" t="s">
        <v>52</v>
      </c>
      <c r="B304" s="51" t="s">
        <v>820</v>
      </c>
      <c r="C304" s="24" t="s">
        <v>325</v>
      </c>
      <c r="D304" s="24" t="s">
        <v>100</v>
      </c>
      <c r="E304" s="24"/>
      <c r="F304" s="34"/>
      <c r="G304" s="24"/>
      <c r="H304" s="24" t="s">
        <v>20</v>
      </c>
      <c r="I304" s="26" t="s">
        <v>630</v>
      </c>
      <c r="J304" s="29">
        <f>J303 * J62</f>
        <v>26594.523917466646</v>
      </c>
      <c r="K304" s="29">
        <f>K303 * K62</f>
        <v>14419.257417328883</v>
      </c>
      <c r="L304" s="29">
        <f>L303 * L62</f>
        <v>41795.74704365596</v>
      </c>
    </row>
    <row r="305" spans="1:13" ht="18" customHeight="1" x14ac:dyDescent="0.2">
      <c r="A305" s="24" t="s">
        <v>52</v>
      </c>
      <c r="B305" s="51" t="s">
        <v>820</v>
      </c>
      <c r="C305" s="24" t="s">
        <v>325</v>
      </c>
      <c r="D305" s="24" t="s">
        <v>102</v>
      </c>
      <c r="E305" s="24"/>
      <c r="F305" s="34"/>
      <c r="G305" s="24"/>
      <c r="H305" s="24" t="s">
        <v>20</v>
      </c>
      <c r="I305" s="26" t="s">
        <v>103</v>
      </c>
      <c r="J305" s="27">
        <f>J304 / 1000</f>
        <v>26.594523917466645</v>
      </c>
      <c r="K305" s="27">
        <f>K304 / 1000</f>
        <v>14.419257417328883</v>
      </c>
      <c r="L305" s="27">
        <f>L304 / 1000</f>
        <v>41.795747043655957</v>
      </c>
    </row>
    <row r="306" spans="1:13" ht="18" customHeight="1" x14ac:dyDescent="0.2">
      <c r="A306" s="24" t="s">
        <v>52</v>
      </c>
      <c r="B306" s="51" t="s">
        <v>820</v>
      </c>
      <c r="C306" s="24" t="s">
        <v>493</v>
      </c>
      <c r="D306" s="24" t="s">
        <v>421</v>
      </c>
      <c r="E306" s="24"/>
      <c r="F306" s="34"/>
      <c r="G306" s="24"/>
      <c r="H306" s="24" t="s">
        <v>20</v>
      </c>
      <c r="I306" s="26" t="s">
        <v>185</v>
      </c>
      <c r="J306" s="29">
        <f>J305 * J31</f>
        <v>17552.385785527986</v>
      </c>
      <c r="K306" s="29">
        <f>K305 * K31</f>
        <v>9516.7098954370631</v>
      </c>
      <c r="L306" s="29">
        <f>L305 * L31</f>
        <v>27585.193048812933</v>
      </c>
    </row>
    <row r="307" spans="1:13" ht="18" customHeight="1" x14ac:dyDescent="0.2">
      <c r="A307" s="24" t="s">
        <v>52</v>
      </c>
      <c r="B307" s="51" t="s">
        <v>820</v>
      </c>
      <c r="C307" s="24" t="s">
        <v>494</v>
      </c>
      <c r="D307" s="24" t="s">
        <v>423</v>
      </c>
      <c r="E307" s="24"/>
      <c r="F307" s="34"/>
      <c r="G307" s="24"/>
      <c r="H307" s="24" t="s">
        <v>20</v>
      </c>
      <c r="I307" s="26" t="s">
        <v>424</v>
      </c>
      <c r="J307" s="42">
        <f>J306 / J50</f>
        <v>5.8120482733536379E-2</v>
      </c>
      <c r="K307" s="42">
        <f>K306 / K50</f>
        <v>3.1512284421977031E-2</v>
      </c>
      <c r="L307" s="42">
        <f>L306 / L50</f>
        <v>9.1341698837128921E-2</v>
      </c>
      <c r="M307" s="18" t="s">
        <v>341</v>
      </c>
    </row>
    <row r="308" spans="1:13" ht="18" customHeight="1" x14ac:dyDescent="0.2">
      <c r="A308" s="24" t="s">
        <v>52</v>
      </c>
      <c r="B308" s="51" t="s">
        <v>821</v>
      </c>
      <c r="C308" s="24" t="s">
        <v>266</v>
      </c>
      <c r="D308" s="24" t="s">
        <v>631</v>
      </c>
      <c r="E308" s="24"/>
      <c r="F308" s="218">
        <v>1.6700000000000001E-6</v>
      </c>
      <c r="G308" s="24"/>
      <c r="H308" s="33" t="s">
        <v>693</v>
      </c>
      <c r="I308" s="26" t="s">
        <v>769</v>
      </c>
      <c r="J308" s="44">
        <f>F308</f>
        <v>1.6700000000000001E-6</v>
      </c>
      <c r="K308" s="44">
        <f>J308</f>
        <v>1.6700000000000001E-6</v>
      </c>
      <c r="L308" s="44">
        <f>J308</f>
        <v>1.6700000000000001E-6</v>
      </c>
    </row>
    <row r="309" spans="1:13" ht="18" customHeight="1" x14ac:dyDescent="0.2">
      <c r="A309" s="24" t="s">
        <v>52</v>
      </c>
      <c r="B309" s="51" t="s">
        <v>821</v>
      </c>
      <c r="C309" s="24" t="s">
        <v>269</v>
      </c>
      <c r="D309" s="24" t="s">
        <v>102</v>
      </c>
      <c r="E309" s="24"/>
      <c r="F309" s="43"/>
      <c r="G309" s="24"/>
      <c r="H309" s="24" t="s">
        <v>20</v>
      </c>
      <c r="I309" s="26" t="s">
        <v>632</v>
      </c>
      <c r="J309" s="28">
        <f>J308 * J295</f>
        <v>249.750640295979</v>
      </c>
      <c r="K309" s="28">
        <f>K308 * K295</f>
        <v>148.14947175494117</v>
      </c>
      <c r="L309" s="28">
        <f>L308 * L295</f>
        <v>372.96111883344929</v>
      </c>
    </row>
    <row r="310" spans="1:13" ht="18" customHeight="1" x14ac:dyDescent="0.2">
      <c r="A310" s="24" t="s">
        <v>52</v>
      </c>
      <c r="B310" s="51" t="s">
        <v>821</v>
      </c>
      <c r="C310" s="24" t="s">
        <v>493</v>
      </c>
      <c r="D310" s="24" t="s">
        <v>421</v>
      </c>
      <c r="E310" s="24"/>
      <c r="F310" s="34"/>
      <c r="G310" s="24"/>
      <c r="H310" s="24" t="s">
        <v>20</v>
      </c>
      <c r="I310" s="26" t="s">
        <v>185</v>
      </c>
      <c r="J310" s="29">
        <f>J309 * J31</f>
        <v>164835.42259534614</v>
      </c>
      <c r="K310" s="29">
        <f>K309 * K31</f>
        <v>97778.651358261181</v>
      </c>
      <c r="L310" s="29">
        <f>L309 * L31</f>
        <v>246154.33843007655</v>
      </c>
    </row>
    <row r="311" spans="1:13" ht="18" customHeight="1" x14ac:dyDescent="0.2">
      <c r="A311" s="24" t="s">
        <v>52</v>
      </c>
      <c r="B311" s="51" t="s">
        <v>821</v>
      </c>
      <c r="C311" s="24" t="s">
        <v>494</v>
      </c>
      <c r="D311" s="24" t="s">
        <v>423</v>
      </c>
      <c r="E311" s="24"/>
      <c r="F311" s="34"/>
      <c r="G311" s="24"/>
      <c r="H311" s="24" t="s">
        <v>20</v>
      </c>
      <c r="I311" s="26" t="s">
        <v>424</v>
      </c>
      <c r="J311" s="57">
        <f>J310 / J50</f>
        <v>0.54581265760048392</v>
      </c>
      <c r="K311" s="57">
        <f>K310 / K50</f>
        <v>0.32377036873596415</v>
      </c>
      <c r="L311" s="57">
        <f>L310 / L50</f>
        <v>0.81508059082806805</v>
      </c>
      <c r="M311" s="18" t="s">
        <v>341</v>
      </c>
    </row>
    <row r="312" spans="1:13" ht="18" customHeight="1" x14ac:dyDescent="0.2">
      <c r="A312" s="24" t="s">
        <v>52</v>
      </c>
      <c r="B312" s="51" t="s">
        <v>822</v>
      </c>
      <c r="C312" s="24" t="s">
        <v>329</v>
      </c>
      <c r="D312" s="43" t="s">
        <v>330</v>
      </c>
      <c r="E312" s="24"/>
      <c r="F312" s="218">
        <v>0.35124438839967936</v>
      </c>
      <c r="G312" s="24"/>
      <c r="H312" s="33" t="s">
        <v>693</v>
      </c>
      <c r="I312" s="26" t="s">
        <v>770</v>
      </c>
      <c r="J312" s="44">
        <f>F312</f>
        <v>0.35124438839967936</v>
      </c>
      <c r="K312" s="44">
        <f>J312</f>
        <v>0.35124438839967936</v>
      </c>
      <c r="L312" s="44">
        <f>J312</f>
        <v>0.35124438839967936</v>
      </c>
    </row>
    <row r="313" spans="1:13" ht="18" customHeight="1" x14ac:dyDescent="0.2">
      <c r="A313" s="24" t="s">
        <v>52</v>
      </c>
      <c r="B313" s="51" t="s">
        <v>822</v>
      </c>
      <c r="C313" s="24" t="s">
        <v>331</v>
      </c>
      <c r="D313" s="24" t="s">
        <v>328</v>
      </c>
      <c r="E313" s="24"/>
      <c r="F313" s="43"/>
      <c r="G313" s="24"/>
      <c r="H313" s="24" t="s">
        <v>20</v>
      </c>
      <c r="I313" s="26" t="s">
        <v>836</v>
      </c>
      <c r="J313" s="29">
        <f>J312 * J295</f>
        <v>52529048.445023619</v>
      </c>
      <c r="K313" s="29">
        <f>K312 * K295</f>
        <v>31159682.992993943</v>
      </c>
      <c r="L313" s="29">
        <f>L312 * L295</f>
        <v>78443413.222464085</v>
      </c>
    </row>
    <row r="314" spans="1:13" ht="18" customHeight="1" x14ac:dyDescent="0.2">
      <c r="A314" s="24" t="s">
        <v>52</v>
      </c>
      <c r="B314" s="51" t="s">
        <v>823</v>
      </c>
      <c r="C314" s="24" t="s">
        <v>633</v>
      </c>
      <c r="D314" s="24" t="s">
        <v>634</v>
      </c>
      <c r="E314" s="34"/>
      <c r="F314" s="222">
        <v>1.0892791969013671</v>
      </c>
      <c r="G314" s="34"/>
      <c r="H314" s="33" t="s">
        <v>693</v>
      </c>
      <c r="I314" s="26" t="s">
        <v>771</v>
      </c>
      <c r="J314" s="35">
        <f>F314</f>
        <v>1.0892791969013671</v>
      </c>
      <c r="K314" s="35">
        <f>J314</f>
        <v>1.0892791969013671</v>
      </c>
      <c r="L314" s="35">
        <f>J314</f>
        <v>1.0892791969013671</v>
      </c>
    </row>
    <row r="315" spans="1:13" ht="18" customHeight="1" x14ac:dyDescent="0.2">
      <c r="A315" s="24" t="s">
        <v>52</v>
      </c>
      <c r="B315" s="51" t="s">
        <v>824</v>
      </c>
      <c r="C315" s="24" t="s">
        <v>635</v>
      </c>
      <c r="D315" s="24" t="s">
        <v>636</v>
      </c>
      <c r="E315" s="24"/>
      <c r="F315" s="43"/>
      <c r="G315" s="24"/>
      <c r="H315" s="24" t="s">
        <v>20</v>
      </c>
      <c r="I315" s="26" t="s">
        <v>637</v>
      </c>
      <c r="J315" s="29">
        <f>J313 / J314</f>
        <v>48223677.266995542</v>
      </c>
      <c r="K315" s="29">
        <f>K313 / K314</f>
        <v>28605781.769846298</v>
      </c>
      <c r="L315" s="29">
        <f>L313 / L314</f>
        <v>72014056.125930995</v>
      </c>
    </row>
    <row r="316" spans="1:13" ht="18" customHeight="1" x14ac:dyDescent="0.2">
      <c r="A316" s="24" t="s">
        <v>52</v>
      </c>
      <c r="B316" s="51" t="s">
        <v>825</v>
      </c>
      <c r="C316" s="24" t="s">
        <v>315</v>
      </c>
      <c r="D316" s="24" t="s">
        <v>639</v>
      </c>
      <c r="E316" s="24"/>
      <c r="F316" s="218">
        <v>1.0018848732523396E-4</v>
      </c>
      <c r="G316" s="24"/>
      <c r="H316" s="33" t="s">
        <v>693</v>
      </c>
      <c r="I316" s="26" t="s">
        <v>772</v>
      </c>
      <c r="J316" s="44">
        <f>F316</f>
        <v>1.0018848732523396E-4</v>
      </c>
      <c r="K316" s="44">
        <f>J316</f>
        <v>1.0018848732523396E-4</v>
      </c>
      <c r="L316" s="44">
        <f>J316</f>
        <v>1.0018848732523396E-4</v>
      </c>
    </row>
    <row r="317" spans="1:13" ht="18" customHeight="1" x14ac:dyDescent="0.2">
      <c r="A317" s="24" t="s">
        <v>52</v>
      </c>
      <c r="B317" s="51" t="s">
        <v>638</v>
      </c>
      <c r="C317" s="24" t="s">
        <v>317</v>
      </c>
      <c r="D317" s="24" t="s">
        <v>316</v>
      </c>
      <c r="E317" s="24"/>
      <c r="F317" s="43"/>
      <c r="G317" s="24"/>
      <c r="H317" s="24" t="s">
        <v>20</v>
      </c>
      <c r="I317" s="26" t="s">
        <v>640</v>
      </c>
      <c r="J317" s="29">
        <f>J316 * J315</f>
        <v>4831.4572786405561</v>
      </c>
      <c r="K317" s="29">
        <f>K316 * K315</f>
        <v>2865.9700042766544</v>
      </c>
      <c r="L317" s="29">
        <f>L316 * L315</f>
        <v>7214.9793494115238</v>
      </c>
    </row>
    <row r="318" spans="1:13" ht="18" customHeight="1" x14ac:dyDescent="0.2">
      <c r="A318" s="24" t="s">
        <v>52</v>
      </c>
      <c r="B318" s="51" t="s">
        <v>826</v>
      </c>
      <c r="C318" s="24" t="s">
        <v>326</v>
      </c>
      <c r="D318" s="24" t="s">
        <v>641</v>
      </c>
      <c r="E318" s="218">
        <v>6.3334396627821546E-2</v>
      </c>
      <c r="F318" s="218">
        <v>6.6428639404465778E-2</v>
      </c>
      <c r="G318" s="218">
        <v>6.9522882181110038E-2</v>
      </c>
      <c r="H318" s="33" t="s">
        <v>693</v>
      </c>
      <c r="I318" s="26" t="s">
        <v>772</v>
      </c>
      <c r="J318" s="44">
        <f>F318</f>
        <v>6.6428639404465778E-2</v>
      </c>
      <c r="K318" s="44">
        <f>E318</f>
        <v>6.3334396627821546E-2</v>
      </c>
      <c r="L318" s="44">
        <f>G318</f>
        <v>6.9522882181110038E-2</v>
      </c>
    </row>
    <row r="319" spans="1:13" ht="18" customHeight="1" x14ac:dyDescent="0.2">
      <c r="A319" s="24" t="s">
        <v>52</v>
      </c>
      <c r="B319" s="51" t="s">
        <v>826</v>
      </c>
      <c r="C319" s="24" t="s">
        <v>207</v>
      </c>
      <c r="D319" s="24" t="s">
        <v>208</v>
      </c>
      <c r="E319" s="24"/>
      <c r="F319" s="32"/>
      <c r="G319" s="24"/>
      <c r="H319" s="24" t="s">
        <v>20</v>
      </c>
      <c r="I319" s="26" t="s">
        <v>286</v>
      </c>
      <c r="J319" s="29">
        <f>J318 * J315</f>
        <v>3203433.2679265807</v>
      </c>
      <c r="K319" s="29">
        <f>K318 * K315</f>
        <v>1811729.9284603524</v>
      </c>
      <c r="L319" s="29">
        <f>L318 * L315</f>
        <v>5006624.7394269463</v>
      </c>
    </row>
    <row r="320" spans="1:13" ht="18" customHeight="1" x14ac:dyDescent="0.2">
      <c r="A320" s="24" t="s">
        <v>52</v>
      </c>
      <c r="B320" s="51" t="s">
        <v>826</v>
      </c>
      <c r="C320" s="24" t="s">
        <v>512</v>
      </c>
      <c r="D320" s="24" t="s">
        <v>513</v>
      </c>
      <c r="E320" s="24"/>
      <c r="F320" s="218">
        <v>0.16813559764183611</v>
      </c>
      <c r="G320" s="24"/>
      <c r="H320" s="33" t="s">
        <v>693</v>
      </c>
      <c r="I320" s="26" t="s">
        <v>757</v>
      </c>
      <c r="J320" s="44">
        <f>F320</f>
        <v>0.16813559764183611</v>
      </c>
      <c r="K320" s="44">
        <f>J320</f>
        <v>0.16813559764183611</v>
      </c>
      <c r="L320" s="44">
        <f>J320</f>
        <v>0.16813559764183611</v>
      </c>
    </row>
    <row r="321" spans="1:13" ht="18" customHeight="1" x14ac:dyDescent="0.2">
      <c r="A321" s="24" t="s">
        <v>52</v>
      </c>
      <c r="B321" s="51" t="s">
        <v>826</v>
      </c>
      <c r="C321" s="24" t="s">
        <v>514</v>
      </c>
      <c r="D321" s="24" t="s">
        <v>515</v>
      </c>
      <c r="E321" s="24"/>
      <c r="F321" s="218">
        <v>1.8096395844748085E-2</v>
      </c>
      <c r="G321" s="24"/>
      <c r="H321" s="33" t="s">
        <v>693</v>
      </c>
      <c r="I321" s="26" t="s">
        <v>757</v>
      </c>
      <c r="J321" s="44">
        <f t="shared" ref="J321:J322" si="24">F321</f>
        <v>1.8096395844748085E-2</v>
      </c>
      <c r="K321" s="44">
        <f>J321</f>
        <v>1.8096395844748085E-2</v>
      </c>
      <c r="L321" s="44">
        <f>J321</f>
        <v>1.8096395844748085E-2</v>
      </c>
    </row>
    <row r="322" spans="1:13" ht="18" customHeight="1" x14ac:dyDescent="0.2">
      <c r="A322" s="24" t="s">
        <v>52</v>
      </c>
      <c r="B322" s="51" t="s">
        <v>826</v>
      </c>
      <c r="C322" s="24" t="s">
        <v>516</v>
      </c>
      <c r="D322" s="24" t="s">
        <v>517</v>
      </c>
      <c r="E322" s="24"/>
      <c r="F322" s="218">
        <v>4.5959731116537071E-6</v>
      </c>
      <c r="G322" s="24"/>
      <c r="H322" s="33" t="s">
        <v>693</v>
      </c>
      <c r="I322" s="26" t="s">
        <v>757</v>
      </c>
      <c r="J322" s="44">
        <f t="shared" si="24"/>
        <v>4.5959731116537071E-6</v>
      </c>
      <c r="K322" s="44">
        <f>J322</f>
        <v>4.5959731116537071E-6</v>
      </c>
      <c r="L322" s="44">
        <f>J322</f>
        <v>4.5959731116537071E-6</v>
      </c>
    </row>
    <row r="323" spans="1:13" ht="18" customHeight="1" x14ac:dyDescent="0.2">
      <c r="A323" s="24" t="s">
        <v>52</v>
      </c>
      <c r="B323" s="51" t="s">
        <v>826</v>
      </c>
      <c r="C323" s="24" t="s">
        <v>518</v>
      </c>
      <c r="D323" s="24" t="s">
        <v>432</v>
      </c>
      <c r="E323" s="24"/>
      <c r="F323" s="43"/>
      <c r="G323" s="24"/>
      <c r="H323" s="24" t="s">
        <v>20</v>
      </c>
      <c r="I323" s="26" t="s">
        <v>519</v>
      </c>
      <c r="J323" s="29">
        <f>J320 * J319</f>
        <v>538611.16700857575</v>
      </c>
      <c r="K323" s="29">
        <f>K320 * K319</f>
        <v>304616.29428728233</v>
      </c>
      <c r="L323" s="29">
        <f>L320 * L319</f>
        <v>841791.84273195162</v>
      </c>
    </row>
    <row r="324" spans="1:13" ht="18" customHeight="1" x14ac:dyDescent="0.2">
      <c r="A324" s="24" t="s">
        <v>52</v>
      </c>
      <c r="B324" s="51" t="s">
        <v>826</v>
      </c>
      <c r="C324" s="24" t="s">
        <v>520</v>
      </c>
      <c r="D324" s="24" t="s">
        <v>609</v>
      </c>
      <c r="E324" s="24"/>
      <c r="F324" s="43"/>
      <c r="G324" s="24"/>
      <c r="H324" s="24" t="s">
        <v>20</v>
      </c>
      <c r="I324" s="26" t="s">
        <v>522</v>
      </c>
      <c r="J324" s="29">
        <f>J321 * J319</f>
        <v>57970.596478634354</v>
      </c>
      <c r="K324" s="29">
        <f>K321 * K319</f>
        <v>32785.781949195669</v>
      </c>
      <c r="L324" s="29">
        <f>L321 * L319</f>
        <v>90601.863130778758</v>
      </c>
    </row>
    <row r="325" spans="1:13" ht="18" customHeight="1" x14ac:dyDescent="0.2">
      <c r="A325" s="24" t="s">
        <v>52</v>
      </c>
      <c r="B325" s="51" t="s">
        <v>826</v>
      </c>
      <c r="C325" s="24" t="s">
        <v>523</v>
      </c>
      <c r="D325" s="24" t="s">
        <v>524</v>
      </c>
      <c r="E325" s="24"/>
      <c r="F325" s="43"/>
      <c r="G325" s="24"/>
      <c r="H325" s="24" t="s">
        <v>20</v>
      </c>
      <c r="I325" s="26" t="s">
        <v>525</v>
      </c>
      <c r="J325" s="29">
        <f>J322 * J319</f>
        <v>14.72289316436753</v>
      </c>
      <c r="K325" s="29">
        <f>K322 * K319</f>
        <v>8.3266620367820732</v>
      </c>
      <c r="L325" s="29">
        <f>L322 * L319</f>
        <v>23.010312682546491</v>
      </c>
    </row>
    <row r="326" spans="1:13" ht="18" customHeight="1" x14ac:dyDescent="0.2">
      <c r="A326" s="24" t="s">
        <v>52</v>
      </c>
      <c r="B326" s="51" t="s">
        <v>826</v>
      </c>
      <c r="C326" s="24" t="s">
        <v>520</v>
      </c>
      <c r="D326" s="24" t="s">
        <v>421</v>
      </c>
      <c r="E326" s="24"/>
      <c r="F326" s="43"/>
      <c r="G326" s="24"/>
      <c r="H326" s="24" t="s">
        <v>20</v>
      </c>
      <c r="I326" s="26" t="s">
        <v>526</v>
      </c>
      <c r="J326" s="29">
        <f>J324 * '5. Unit Conversions'!D15</f>
        <v>1971000.2802735681</v>
      </c>
      <c r="K326" s="29">
        <f>K324 * '5. Unit Conversions'!D15</f>
        <v>1114716.5862726527</v>
      </c>
      <c r="L326" s="29">
        <f>L324 * '5. Unit Conversions'!D15</f>
        <v>3080463.3464464778</v>
      </c>
    </row>
    <row r="327" spans="1:13" ht="18" customHeight="1" x14ac:dyDescent="0.2">
      <c r="A327" s="24" t="s">
        <v>52</v>
      </c>
      <c r="B327" s="51" t="s">
        <v>826</v>
      </c>
      <c r="C327" s="24" t="s">
        <v>523</v>
      </c>
      <c r="D327" s="24" t="s">
        <v>421</v>
      </c>
      <c r="E327" s="24"/>
      <c r="F327" s="43"/>
      <c r="G327" s="24"/>
      <c r="H327" s="24" t="s">
        <v>20</v>
      </c>
      <c r="I327" s="26" t="s">
        <v>527</v>
      </c>
      <c r="J327" s="29">
        <f>J325 * '5. Unit Conversions'!D16</f>
        <v>4387.4221629815238</v>
      </c>
      <c r="K327" s="29">
        <f>K325 * '5. Unit Conversions'!D16</f>
        <v>2481.3452869610578</v>
      </c>
      <c r="L327" s="29">
        <f>L325 * '5. Unit Conversions'!D16</f>
        <v>6857.0731793988543</v>
      </c>
    </row>
    <row r="328" spans="1:13" ht="18" customHeight="1" x14ac:dyDescent="0.2">
      <c r="A328" s="24" t="s">
        <v>52</v>
      </c>
      <c r="B328" s="51" t="s">
        <v>826</v>
      </c>
      <c r="C328" s="24" t="s">
        <v>493</v>
      </c>
      <c r="D328" s="24" t="s">
        <v>421</v>
      </c>
      <c r="E328" s="24"/>
      <c r="F328" s="43"/>
      <c r="G328" s="24"/>
      <c r="H328" s="24" t="s">
        <v>20</v>
      </c>
      <c r="I328" s="26" t="s">
        <v>528</v>
      </c>
      <c r="J328" s="29">
        <f>J323 + J326 + J327</f>
        <v>2513998.8694451256</v>
      </c>
      <c r="K328" s="29">
        <f>K323 + K326 + K327</f>
        <v>1421814.2258468959</v>
      </c>
      <c r="L328" s="29">
        <f>L323 + L326 + L327</f>
        <v>3929112.2623578282</v>
      </c>
    </row>
    <row r="329" spans="1:13" ht="18" customHeight="1" x14ac:dyDescent="0.2">
      <c r="A329" s="24" t="s">
        <v>52</v>
      </c>
      <c r="B329" s="51" t="s">
        <v>826</v>
      </c>
      <c r="C329" s="24" t="s">
        <v>494</v>
      </c>
      <c r="D329" s="24" t="s">
        <v>423</v>
      </c>
      <c r="E329" s="24"/>
      <c r="F329" s="43"/>
      <c r="G329" s="24"/>
      <c r="H329" s="24" t="s">
        <v>20</v>
      </c>
      <c r="I329" s="26" t="s">
        <v>424</v>
      </c>
      <c r="J329" s="30">
        <f>J328 / J50</f>
        <v>8.3244995676990907</v>
      </c>
      <c r="K329" s="30">
        <f>K328 / K50</f>
        <v>4.7079941253208473</v>
      </c>
      <c r="L329" s="30">
        <f>L328 / L50</f>
        <v>13.01030550449612</v>
      </c>
      <c r="M329" s="18" t="s">
        <v>341</v>
      </c>
    </row>
    <row r="330" spans="1:13" ht="18" customHeight="1" x14ac:dyDescent="0.2">
      <c r="A330" s="24" t="s">
        <v>52</v>
      </c>
      <c r="B330" s="51" t="s">
        <v>827</v>
      </c>
      <c r="C330" s="24" t="s">
        <v>529</v>
      </c>
      <c r="D330" s="24" t="s">
        <v>530</v>
      </c>
      <c r="E330" s="43"/>
      <c r="F330" s="218">
        <v>2.7460222910079564</v>
      </c>
      <c r="G330" s="43"/>
      <c r="H330" s="33" t="s">
        <v>693</v>
      </c>
      <c r="I330" s="26" t="s">
        <v>758</v>
      </c>
      <c r="J330" s="44">
        <f>F330</f>
        <v>2.7460222910079564</v>
      </c>
      <c r="K330" s="44">
        <f>J330</f>
        <v>2.7460222910079564</v>
      </c>
      <c r="L330" s="44">
        <f>J330</f>
        <v>2.7460222910079564</v>
      </c>
    </row>
    <row r="331" spans="1:13" ht="18" customHeight="1" x14ac:dyDescent="0.2">
      <c r="A331" s="24" t="s">
        <v>52</v>
      </c>
      <c r="B331" s="51" t="s">
        <v>827</v>
      </c>
      <c r="C331" s="24" t="s">
        <v>531</v>
      </c>
      <c r="D331" s="24" t="s">
        <v>532</v>
      </c>
      <c r="E331" s="43"/>
      <c r="F331" s="218">
        <v>5.2632093910985827E-5</v>
      </c>
      <c r="G331" s="43"/>
      <c r="H331" s="33" t="s">
        <v>693</v>
      </c>
      <c r="I331" s="26" t="s">
        <v>758</v>
      </c>
      <c r="J331" s="44">
        <f t="shared" ref="J331:J332" si="25">F331</f>
        <v>5.2632093910985827E-5</v>
      </c>
      <c r="K331" s="44">
        <f>J331</f>
        <v>5.2632093910985827E-5</v>
      </c>
      <c r="L331" s="44">
        <f>J331</f>
        <v>5.2632093910985827E-5</v>
      </c>
    </row>
    <row r="332" spans="1:13" ht="18" customHeight="1" x14ac:dyDescent="0.2">
      <c r="A332" s="24" t="s">
        <v>52</v>
      </c>
      <c r="B332" s="51" t="s">
        <v>827</v>
      </c>
      <c r="C332" s="24" t="s">
        <v>533</v>
      </c>
      <c r="D332" s="24" t="s">
        <v>534</v>
      </c>
      <c r="E332" s="43"/>
      <c r="F332" s="218">
        <v>5.0343742001812527E-5</v>
      </c>
      <c r="G332" s="43"/>
      <c r="H332" s="33" t="s">
        <v>693</v>
      </c>
      <c r="I332" s="26" t="s">
        <v>758</v>
      </c>
      <c r="J332" s="44">
        <f t="shared" si="25"/>
        <v>5.0343742001812527E-5</v>
      </c>
      <c r="K332" s="44">
        <f>J332</f>
        <v>5.0343742001812527E-5</v>
      </c>
      <c r="L332" s="44">
        <f>J332</f>
        <v>5.0343742001812527E-5</v>
      </c>
    </row>
    <row r="333" spans="1:13" ht="18" customHeight="1" x14ac:dyDescent="0.2">
      <c r="A333" s="24" t="s">
        <v>52</v>
      </c>
      <c r="B333" s="51" t="s">
        <v>827</v>
      </c>
      <c r="C333" s="24" t="s">
        <v>535</v>
      </c>
      <c r="D333" s="24" t="s">
        <v>432</v>
      </c>
      <c r="E333" s="24"/>
      <c r="F333" s="43"/>
      <c r="G333" s="24"/>
      <c r="H333" s="24" t="s">
        <v>20</v>
      </c>
      <c r="I333" s="26" t="s">
        <v>536</v>
      </c>
      <c r="J333" s="29">
        <f>J330 * J319</f>
        <v>8796699.1614828538</v>
      </c>
      <c r="K333" s="29">
        <f>K330 * K319</f>
        <v>4975050.7688383777</v>
      </c>
      <c r="L333" s="29">
        <f>L330 * L319</f>
        <v>13748303.137178296</v>
      </c>
    </row>
    <row r="334" spans="1:13" ht="18" customHeight="1" x14ac:dyDescent="0.2">
      <c r="A334" s="24" t="s">
        <v>52</v>
      </c>
      <c r="B334" s="51" t="s">
        <v>827</v>
      </c>
      <c r="C334" s="24" t="s">
        <v>537</v>
      </c>
      <c r="D334" s="24" t="s">
        <v>521</v>
      </c>
      <c r="E334" s="24"/>
      <c r="F334" s="43"/>
      <c r="G334" s="24"/>
      <c r="H334" s="24" t="s">
        <v>20</v>
      </c>
      <c r="I334" s="26" t="s">
        <v>538</v>
      </c>
      <c r="J334" s="29">
        <f>J331 * J319</f>
        <v>168.603400595088</v>
      </c>
      <c r="K334" s="29">
        <f>K331 * K319</f>
        <v>95.355139736068892</v>
      </c>
      <c r="L334" s="29">
        <f>L331 * L319</f>
        <v>263.50914346258401</v>
      </c>
    </row>
    <row r="335" spans="1:13" ht="18" customHeight="1" x14ac:dyDescent="0.2">
      <c r="A335" s="24" t="s">
        <v>52</v>
      </c>
      <c r="B335" s="51" t="s">
        <v>827</v>
      </c>
      <c r="C335" s="24" t="s">
        <v>539</v>
      </c>
      <c r="D335" s="24" t="s">
        <v>524</v>
      </c>
      <c r="E335" s="24"/>
      <c r="F335" s="43"/>
      <c r="G335" s="24"/>
      <c r="H335" s="24" t="s">
        <v>20</v>
      </c>
      <c r="I335" s="26" t="s">
        <v>540</v>
      </c>
      <c r="J335" s="29">
        <f>J332 * J319</f>
        <v>161.27281796051898</v>
      </c>
      <c r="K335" s="29">
        <f>K332 * K319</f>
        <v>91.209264095370244</v>
      </c>
      <c r="L335" s="29">
        <f>L332 * L319</f>
        <v>252.05222418160204</v>
      </c>
    </row>
    <row r="336" spans="1:13" ht="18" customHeight="1" x14ac:dyDescent="0.2">
      <c r="A336" s="24" t="s">
        <v>52</v>
      </c>
      <c r="B336" s="51" t="s">
        <v>827</v>
      </c>
      <c r="C336" s="24" t="s">
        <v>537</v>
      </c>
      <c r="D336" s="24" t="s">
        <v>421</v>
      </c>
      <c r="E336" s="24"/>
      <c r="F336" s="43"/>
      <c r="G336" s="24"/>
      <c r="H336" s="24" t="s">
        <v>20</v>
      </c>
      <c r="I336" s="26" t="s">
        <v>526</v>
      </c>
      <c r="J336" s="29">
        <f>J334 * '5. Unit Conversions'!D15</f>
        <v>5732.5156202329918</v>
      </c>
      <c r="K336" s="29">
        <f>K334 * '5. Unit Conversions'!D15</f>
        <v>3242.0747510263423</v>
      </c>
      <c r="L336" s="29">
        <f>L334 * '5. Unit Conversions'!D15</f>
        <v>8959.3108777278558</v>
      </c>
    </row>
    <row r="337" spans="1:13" ht="18" customHeight="1" x14ac:dyDescent="0.2">
      <c r="A337" s="24" t="s">
        <v>52</v>
      </c>
      <c r="B337" s="51" t="s">
        <v>827</v>
      </c>
      <c r="C337" s="24" t="s">
        <v>541</v>
      </c>
      <c r="D337" s="24" t="s">
        <v>421</v>
      </c>
      <c r="E337" s="24"/>
      <c r="F337" s="43"/>
      <c r="G337" s="24"/>
      <c r="H337" s="24" t="s">
        <v>20</v>
      </c>
      <c r="I337" s="26" t="s">
        <v>527</v>
      </c>
      <c r="J337" s="29">
        <f>J335 * '5. Unit Conversions'!D16</f>
        <v>48059.299752234656</v>
      </c>
      <c r="K337" s="29">
        <f>K335 * '5. Unit Conversions'!D16</f>
        <v>27180.360700420333</v>
      </c>
      <c r="L337" s="29">
        <f>L335 * '5. Unit Conversions'!D16</f>
        <v>75111.562806117407</v>
      </c>
    </row>
    <row r="338" spans="1:13" ht="18" customHeight="1" x14ac:dyDescent="0.2">
      <c r="A338" s="24" t="s">
        <v>52</v>
      </c>
      <c r="B338" s="51" t="s">
        <v>827</v>
      </c>
      <c r="C338" s="24" t="s">
        <v>493</v>
      </c>
      <c r="D338" s="24" t="s">
        <v>421</v>
      </c>
      <c r="E338" s="24"/>
      <c r="F338" s="43"/>
      <c r="G338" s="24"/>
      <c r="H338" s="24" t="s">
        <v>20</v>
      </c>
      <c r="I338" s="26" t="s">
        <v>528</v>
      </c>
      <c r="J338" s="29">
        <f>J333 + J336 + J337</f>
        <v>8850490.9768553227</v>
      </c>
      <c r="K338" s="29">
        <f>K333 + K336 + K337</f>
        <v>5005473.2042898238</v>
      </c>
      <c r="L338" s="29">
        <f>L333 + L336 + L337</f>
        <v>13832374.010862142</v>
      </c>
    </row>
    <row r="339" spans="1:13" ht="18" customHeight="1" x14ac:dyDescent="0.2">
      <c r="A339" s="24" t="s">
        <v>52</v>
      </c>
      <c r="B339" s="51" t="s">
        <v>827</v>
      </c>
      <c r="C339" s="24" t="s">
        <v>494</v>
      </c>
      <c r="D339" s="24" t="s">
        <v>423</v>
      </c>
      <c r="E339" s="24"/>
      <c r="F339" s="43"/>
      <c r="G339" s="24"/>
      <c r="H339" s="24" t="s">
        <v>20</v>
      </c>
      <c r="I339" s="26" t="s">
        <v>424</v>
      </c>
      <c r="J339" s="27">
        <f>J338 / J50</f>
        <v>29.306261512765968</v>
      </c>
      <c r="K339" s="27">
        <f>K338 / K50</f>
        <v>16.574414583741138</v>
      </c>
      <c r="L339" s="27">
        <f>L338 / L50</f>
        <v>45.802562949874641</v>
      </c>
      <c r="M339" s="18" t="s">
        <v>341</v>
      </c>
    </row>
    <row r="340" spans="1:13" ht="18" customHeight="1" x14ac:dyDescent="0.2">
      <c r="A340" s="24" t="s">
        <v>52</v>
      </c>
      <c r="B340" s="51" t="s">
        <v>828</v>
      </c>
      <c r="C340" s="24" t="s">
        <v>332</v>
      </c>
      <c r="D340" s="24" t="s">
        <v>333</v>
      </c>
      <c r="E340" s="24"/>
      <c r="F340" s="43"/>
      <c r="G340" s="24"/>
      <c r="H340" s="24" t="s">
        <v>20</v>
      </c>
      <c r="I340" s="26" t="s">
        <v>642</v>
      </c>
      <c r="J340" s="29">
        <f>J313 - J315</f>
        <v>4305371.1780280769</v>
      </c>
      <c r="K340" s="29">
        <f>K313 - K315</f>
        <v>2553901.2231476456</v>
      </c>
      <c r="L340" s="29">
        <f>L313 - L315</f>
        <v>6429357.0965330899</v>
      </c>
    </row>
    <row r="341" spans="1:13" ht="18" customHeight="1" x14ac:dyDescent="0.2">
      <c r="A341" s="24" t="s">
        <v>52</v>
      </c>
      <c r="B341" s="51" t="s">
        <v>828</v>
      </c>
      <c r="C341" s="24" t="s">
        <v>643</v>
      </c>
      <c r="D341" s="24" t="s">
        <v>75</v>
      </c>
      <c r="E341" s="63"/>
      <c r="F341" s="223">
        <v>0.1</v>
      </c>
      <c r="G341" s="63"/>
      <c r="H341" s="33" t="s">
        <v>693</v>
      </c>
      <c r="I341" s="26" t="s">
        <v>772</v>
      </c>
      <c r="J341" s="40">
        <f>F341</f>
        <v>0.1</v>
      </c>
      <c r="K341" s="40">
        <f t="shared" ref="K341:K347" si="26">J341</f>
        <v>0.1</v>
      </c>
      <c r="L341" s="40">
        <f t="shared" ref="L341:L347" si="27">J341</f>
        <v>0.1</v>
      </c>
    </row>
    <row r="342" spans="1:13" ht="18" customHeight="1" x14ac:dyDescent="0.2">
      <c r="A342" s="24" t="s">
        <v>52</v>
      </c>
      <c r="B342" s="51" t="s">
        <v>828</v>
      </c>
      <c r="C342" s="24" t="s">
        <v>644</v>
      </c>
      <c r="D342" s="24" t="s">
        <v>75</v>
      </c>
      <c r="E342" s="63"/>
      <c r="F342" s="223">
        <v>8.308552250335155E-2</v>
      </c>
      <c r="G342" s="63"/>
      <c r="H342" s="33" t="s">
        <v>693</v>
      </c>
      <c r="I342" s="26" t="s">
        <v>772</v>
      </c>
      <c r="J342" s="40">
        <f t="shared" ref="J342:J347" si="28">F342</f>
        <v>8.308552250335155E-2</v>
      </c>
      <c r="K342" s="40">
        <f t="shared" si="26"/>
        <v>8.308552250335155E-2</v>
      </c>
      <c r="L342" s="40">
        <f t="shared" si="27"/>
        <v>8.308552250335155E-2</v>
      </c>
    </row>
    <row r="343" spans="1:13" ht="18" customHeight="1" x14ac:dyDescent="0.2">
      <c r="A343" s="24" t="s">
        <v>52</v>
      </c>
      <c r="B343" s="51" t="s">
        <v>828</v>
      </c>
      <c r="C343" s="24" t="s">
        <v>645</v>
      </c>
      <c r="D343" s="24" t="s">
        <v>75</v>
      </c>
      <c r="E343" s="63"/>
      <c r="F343" s="223">
        <v>0.13726833784692213</v>
      </c>
      <c r="G343" s="63"/>
      <c r="H343" s="33" t="s">
        <v>693</v>
      </c>
      <c r="I343" s="26" t="s">
        <v>772</v>
      </c>
      <c r="J343" s="40">
        <f t="shared" si="28"/>
        <v>0.13726833784692213</v>
      </c>
      <c r="K343" s="40">
        <f t="shared" si="26"/>
        <v>0.13726833784692213</v>
      </c>
      <c r="L343" s="40">
        <f t="shared" si="27"/>
        <v>0.13726833784692213</v>
      </c>
    </row>
    <row r="344" spans="1:13" ht="18" customHeight="1" x14ac:dyDescent="0.2">
      <c r="A344" s="24" t="s">
        <v>52</v>
      </c>
      <c r="B344" s="51" t="s">
        <v>828</v>
      </c>
      <c r="C344" s="24" t="s">
        <v>646</v>
      </c>
      <c r="D344" s="24" t="s">
        <v>75</v>
      </c>
      <c r="E344" s="63"/>
      <c r="F344" s="223">
        <v>0.23514190313894875</v>
      </c>
      <c r="G344" s="63"/>
      <c r="H344" s="33" t="s">
        <v>693</v>
      </c>
      <c r="I344" s="26" t="s">
        <v>772</v>
      </c>
      <c r="J344" s="40">
        <f t="shared" si="28"/>
        <v>0.23514190313894875</v>
      </c>
      <c r="K344" s="40">
        <f t="shared" si="26"/>
        <v>0.23514190313894875</v>
      </c>
      <c r="L344" s="40">
        <f t="shared" si="27"/>
        <v>0.23514190313894875</v>
      </c>
    </row>
    <row r="345" spans="1:13" ht="18" customHeight="1" x14ac:dyDescent="0.2">
      <c r="A345" s="24" t="s">
        <v>52</v>
      </c>
      <c r="B345" s="51" t="s">
        <v>828</v>
      </c>
      <c r="C345" s="24" t="s">
        <v>647</v>
      </c>
      <c r="D345" s="24" t="s">
        <v>75</v>
      </c>
      <c r="E345" s="63"/>
      <c r="F345" s="223">
        <v>5.5341873042568719E-2</v>
      </c>
      <c r="G345" s="63"/>
      <c r="H345" s="33" t="s">
        <v>693</v>
      </c>
      <c r="I345" s="26" t="s">
        <v>772</v>
      </c>
      <c r="J345" s="40">
        <f t="shared" si="28"/>
        <v>5.5341873042568719E-2</v>
      </c>
      <c r="K345" s="40">
        <f t="shared" si="26"/>
        <v>5.5341873042568719E-2</v>
      </c>
      <c r="L345" s="40">
        <f t="shared" si="27"/>
        <v>5.5341873042568719E-2</v>
      </c>
    </row>
    <row r="346" spans="1:13" ht="18" customHeight="1" x14ac:dyDescent="0.2">
      <c r="A346" s="24" t="s">
        <v>52</v>
      </c>
      <c r="B346" s="51" t="s">
        <v>828</v>
      </c>
      <c r="C346" s="24" t="s">
        <v>648</v>
      </c>
      <c r="D346" s="24" t="s">
        <v>75</v>
      </c>
      <c r="E346" s="63"/>
      <c r="F346" s="223">
        <v>0.14123627668553487</v>
      </c>
      <c r="G346" s="63"/>
      <c r="H346" s="33" t="s">
        <v>693</v>
      </c>
      <c r="I346" s="26" t="s">
        <v>772</v>
      </c>
      <c r="J346" s="40">
        <f t="shared" si="28"/>
        <v>0.14123627668553487</v>
      </c>
      <c r="K346" s="40">
        <f t="shared" si="26"/>
        <v>0.14123627668553487</v>
      </c>
      <c r="L346" s="40">
        <f t="shared" si="27"/>
        <v>0.14123627668553487</v>
      </c>
    </row>
    <row r="347" spans="1:13" ht="18" customHeight="1" x14ac:dyDescent="0.2">
      <c r="A347" s="24" t="s">
        <v>52</v>
      </c>
      <c r="B347" s="51" t="s">
        <v>828</v>
      </c>
      <c r="C347" s="24" t="s">
        <v>649</v>
      </c>
      <c r="D347" s="24" t="s">
        <v>75</v>
      </c>
      <c r="E347" s="63"/>
      <c r="F347" s="223">
        <v>0.19833805648091504</v>
      </c>
      <c r="G347" s="63"/>
      <c r="H347" s="33" t="s">
        <v>693</v>
      </c>
      <c r="I347" s="26" t="s">
        <v>772</v>
      </c>
      <c r="J347" s="40">
        <f t="shared" si="28"/>
        <v>0.19833805648091504</v>
      </c>
      <c r="K347" s="40">
        <f t="shared" si="26"/>
        <v>0.19833805648091504</v>
      </c>
      <c r="L347" s="40">
        <f t="shared" si="27"/>
        <v>0.19833805648091504</v>
      </c>
    </row>
    <row r="348" spans="1:13" ht="18" customHeight="1" x14ac:dyDescent="0.2">
      <c r="A348" s="24" t="s">
        <v>52</v>
      </c>
      <c r="B348" s="51" t="s">
        <v>828</v>
      </c>
      <c r="C348" s="24" t="s">
        <v>644</v>
      </c>
      <c r="D348" s="24" t="s">
        <v>49</v>
      </c>
      <c r="E348" s="63"/>
      <c r="F348" s="63"/>
      <c r="G348" s="63"/>
      <c r="H348" s="24" t="s">
        <v>20</v>
      </c>
      <c r="I348" s="26" t="s">
        <v>772</v>
      </c>
      <c r="J348" s="53">
        <f>J342 * $J$340</f>
        <v>357714.01389733294</v>
      </c>
      <c r="K348" s="53">
        <f>K342 * $J$340</f>
        <v>357714.01389733294</v>
      </c>
      <c r="L348" s="53">
        <f>L342 * $J$340</f>
        <v>357714.01389733294</v>
      </c>
    </row>
    <row r="349" spans="1:13" ht="18" customHeight="1" x14ac:dyDescent="0.2">
      <c r="A349" s="24" t="s">
        <v>52</v>
      </c>
      <c r="B349" s="51" t="s">
        <v>828</v>
      </c>
      <c r="C349" s="24" t="s">
        <v>645</v>
      </c>
      <c r="D349" s="24" t="s">
        <v>49</v>
      </c>
      <c r="E349" s="63"/>
      <c r="F349" s="63"/>
      <c r="G349" s="63"/>
      <c r="H349" s="24" t="s">
        <v>20</v>
      </c>
      <c r="I349" s="26" t="s">
        <v>772</v>
      </c>
      <c r="J349" s="53">
        <f t="shared" ref="J349:K353" si="29">J343 * $J$340</f>
        <v>590991.14542195923</v>
      </c>
      <c r="K349" s="53">
        <f t="shared" si="29"/>
        <v>590991.14542195923</v>
      </c>
      <c r="L349" s="53">
        <f t="shared" ref="L349" si="30">L343 * $J$340</f>
        <v>590991.14542195923</v>
      </c>
    </row>
    <row r="350" spans="1:13" ht="18" customHeight="1" x14ac:dyDescent="0.2">
      <c r="A350" s="24" t="s">
        <v>52</v>
      </c>
      <c r="B350" s="51" t="s">
        <v>828</v>
      </c>
      <c r="C350" s="24" t="s">
        <v>646</v>
      </c>
      <c r="D350" s="24" t="s">
        <v>49</v>
      </c>
      <c r="E350" s="63"/>
      <c r="F350" s="63"/>
      <c r="G350" s="63"/>
      <c r="H350" s="24" t="s">
        <v>20</v>
      </c>
      <c r="I350" s="26" t="s">
        <v>772</v>
      </c>
      <c r="J350" s="53">
        <f t="shared" si="29"/>
        <v>1012373.1725210998</v>
      </c>
      <c r="K350" s="53">
        <f t="shared" si="29"/>
        <v>1012373.1725210998</v>
      </c>
      <c r="L350" s="53">
        <f t="shared" ref="L350" si="31">L344 * $J$340</f>
        <v>1012373.1725210998</v>
      </c>
    </row>
    <row r="351" spans="1:13" ht="18" customHeight="1" x14ac:dyDescent="0.2">
      <c r="A351" s="24" t="s">
        <v>52</v>
      </c>
      <c r="B351" s="51" t="s">
        <v>828</v>
      </c>
      <c r="C351" s="24" t="s">
        <v>647</v>
      </c>
      <c r="D351" s="24" t="s">
        <v>49</v>
      </c>
      <c r="E351" s="63"/>
      <c r="F351" s="63"/>
      <c r="G351" s="63"/>
      <c r="H351" s="24" t="s">
        <v>20</v>
      </c>
      <c r="I351" s="26" t="s">
        <v>772</v>
      </c>
      <c r="J351" s="53">
        <f t="shared" si="29"/>
        <v>238267.30513556435</v>
      </c>
      <c r="K351" s="53">
        <f t="shared" si="29"/>
        <v>238267.30513556435</v>
      </c>
      <c r="L351" s="53">
        <f t="shared" ref="L351" si="32">L345 * $J$340</f>
        <v>238267.30513556435</v>
      </c>
    </row>
    <row r="352" spans="1:13" ht="18" customHeight="1" x14ac:dyDescent="0.2">
      <c r="A352" s="24" t="s">
        <v>52</v>
      </c>
      <c r="B352" s="51" t="s">
        <v>828</v>
      </c>
      <c r="C352" s="24" t="s">
        <v>648</v>
      </c>
      <c r="D352" s="24" t="s">
        <v>49</v>
      </c>
      <c r="E352" s="63"/>
      <c r="F352" s="63"/>
      <c r="G352" s="63"/>
      <c r="H352" s="24" t="s">
        <v>20</v>
      </c>
      <c r="I352" s="26" t="s">
        <v>772</v>
      </c>
      <c r="J352" s="53">
        <f t="shared" si="29"/>
        <v>608074.59493390063</v>
      </c>
      <c r="K352" s="53">
        <f t="shared" si="29"/>
        <v>608074.59493390063</v>
      </c>
      <c r="L352" s="53">
        <f t="shared" ref="L352" si="33">L346 * $J$340</f>
        <v>608074.59493390063</v>
      </c>
    </row>
    <row r="353" spans="1:12" ht="18" customHeight="1" x14ac:dyDescent="0.2">
      <c r="A353" s="24" t="s">
        <v>52</v>
      </c>
      <c r="B353" s="51" t="s">
        <v>828</v>
      </c>
      <c r="C353" s="24" t="s">
        <v>649</v>
      </c>
      <c r="D353" s="24" t="s">
        <v>49</v>
      </c>
      <c r="E353" s="63"/>
      <c r="F353" s="63"/>
      <c r="G353" s="63"/>
      <c r="H353" s="24" t="s">
        <v>20</v>
      </c>
      <c r="I353" s="26" t="s">
        <v>772</v>
      </c>
      <c r="J353" s="53">
        <f t="shared" si="29"/>
        <v>853918.9518790365</v>
      </c>
      <c r="K353" s="53">
        <f t="shared" si="29"/>
        <v>853918.9518790365</v>
      </c>
      <c r="L353" s="53">
        <f t="shared" ref="L353" si="34">L347 * $J$340</f>
        <v>853918.9518790365</v>
      </c>
    </row>
    <row r="354" spans="1:12" ht="18" customHeight="1" x14ac:dyDescent="0.2">
      <c r="A354" s="24" t="s">
        <v>52</v>
      </c>
      <c r="B354" s="51" t="s">
        <v>828</v>
      </c>
      <c r="C354" s="24" t="s">
        <v>272</v>
      </c>
      <c r="D354" s="24" t="s">
        <v>273</v>
      </c>
      <c r="E354" s="24"/>
      <c r="F354" s="217">
        <v>48.8</v>
      </c>
      <c r="G354" s="24"/>
      <c r="H354" s="33" t="s">
        <v>693</v>
      </c>
      <c r="I354" s="26" t="s">
        <v>183</v>
      </c>
      <c r="J354" s="30">
        <f>F354</f>
        <v>48.8</v>
      </c>
      <c r="K354" s="30">
        <f>J354</f>
        <v>48.8</v>
      </c>
      <c r="L354" s="30">
        <f>J354</f>
        <v>48.8</v>
      </c>
    </row>
    <row r="355" spans="1:12" ht="18" customHeight="1" x14ac:dyDescent="0.2">
      <c r="A355" s="24" t="s">
        <v>52</v>
      </c>
      <c r="B355" s="51" t="s">
        <v>828</v>
      </c>
      <c r="C355" s="24" t="s">
        <v>276</v>
      </c>
      <c r="D355" s="24" t="s">
        <v>274</v>
      </c>
      <c r="E355" s="24"/>
      <c r="F355" s="34"/>
      <c r="G355" s="24"/>
      <c r="H355" s="24" t="s">
        <v>20</v>
      </c>
      <c r="I355" s="26" t="s">
        <v>275</v>
      </c>
      <c r="J355" s="29">
        <f>J354 * J340</f>
        <v>210102113.48777014</v>
      </c>
      <c r="K355" s="29">
        <f>K354 * K340</f>
        <v>124630379.6896051</v>
      </c>
      <c r="L355" s="29">
        <f>L354 * L340</f>
        <v>313752626.31081474</v>
      </c>
    </row>
    <row r="356" spans="1:12" ht="18" customHeight="1" x14ac:dyDescent="0.2">
      <c r="A356" s="80" t="s">
        <v>337</v>
      </c>
      <c r="B356" s="81"/>
      <c r="C356" s="82"/>
      <c r="D356" s="64" t="s">
        <v>458</v>
      </c>
      <c r="E356" s="80"/>
      <c r="F356" s="81"/>
      <c r="G356" s="81"/>
      <c r="H356" s="81"/>
      <c r="I356" s="82"/>
      <c r="J356" s="65">
        <f>SUMIF(M:M,"S",J:J)</f>
        <v>71.775113567067123</v>
      </c>
      <c r="K356" s="65">
        <f>SUMIF(M:M,"S",K:K)</f>
        <v>50.269497004483135</v>
      </c>
      <c r="L356" s="65">
        <f>SUMIF(M:M,"S",L:L)</f>
        <v>96.944576281021668</v>
      </c>
    </row>
    <row r="357" spans="1:12" ht="18" customHeight="1" x14ac:dyDescent="0.2">
      <c r="A357" s="80" t="s">
        <v>334</v>
      </c>
      <c r="B357" s="81"/>
      <c r="C357" s="82"/>
      <c r="D357" s="64" t="s">
        <v>458</v>
      </c>
      <c r="E357" s="80"/>
      <c r="F357" s="81"/>
      <c r="G357" s="81"/>
      <c r="H357" s="81"/>
      <c r="I357" s="82"/>
      <c r="J357" s="65">
        <f>SUMIF(M:M,"RH",J:J)</f>
        <v>26.141459293345058</v>
      </c>
      <c r="K357" s="65">
        <f>SUMIF(M:M,"RH",K:K)</f>
        <v>14.173610777360119</v>
      </c>
      <c r="L357" s="65">
        <f>SUMIF(M:M,"RH",L:L)</f>
        <v>41.083714202497312</v>
      </c>
    </row>
    <row r="358" spans="1:12" ht="18" customHeight="1" x14ac:dyDescent="0.2">
      <c r="A358" s="80" t="s">
        <v>335</v>
      </c>
      <c r="B358" s="81"/>
      <c r="C358" s="82"/>
      <c r="D358" s="64" t="s">
        <v>458</v>
      </c>
      <c r="E358" s="80"/>
      <c r="F358" s="81"/>
      <c r="G358" s="81"/>
      <c r="H358" s="81"/>
      <c r="I358" s="82"/>
      <c r="J358" s="65">
        <f>SUMIF(M:M,"RF",J:J)</f>
        <v>4.5114444816425694</v>
      </c>
      <c r="K358" s="65">
        <f>SUMIF(M:M,"RF",K:K)</f>
        <v>2.6761417548920376</v>
      </c>
      <c r="L358" s="65">
        <f>SUMIF(M:M,"RF",L:L)</f>
        <v>6.7370933641425914</v>
      </c>
    </row>
    <row r="359" spans="1:12" ht="18" customHeight="1" x14ac:dyDescent="0.2">
      <c r="A359" s="80" t="s">
        <v>336</v>
      </c>
      <c r="B359" s="81"/>
      <c r="C359" s="82"/>
      <c r="D359" s="64" t="s">
        <v>458</v>
      </c>
      <c r="E359" s="80"/>
      <c r="F359" s="81"/>
      <c r="G359" s="81"/>
      <c r="H359" s="81"/>
      <c r="I359" s="82"/>
      <c r="J359" s="65">
        <f>SUMIF(M:M,"M",J:J)</f>
        <v>44.759207900381028</v>
      </c>
      <c r="K359" s="65">
        <f>SUMIF(M:M,"M",K:K)</f>
        <v>25.507964743471057</v>
      </c>
      <c r="L359" s="65">
        <f>SUMIF(M:M,"M",L:L)</f>
        <v>69.462568754843943</v>
      </c>
    </row>
    <row r="360" spans="1:12" ht="18" customHeight="1" x14ac:dyDescent="0.2">
      <c r="A360" s="80" t="s">
        <v>650</v>
      </c>
      <c r="B360" s="81"/>
      <c r="C360" s="82"/>
      <c r="D360" s="64" t="s">
        <v>458</v>
      </c>
      <c r="E360" s="80"/>
      <c r="F360" s="81"/>
      <c r="G360" s="81"/>
      <c r="H360" s="81"/>
      <c r="I360" s="82"/>
      <c r="J360" s="65">
        <f>J68</f>
        <v>451.94805194805195</v>
      </c>
      <c r="K360" s="65">
        <f>K68</f>
        <v>545.4545454545455</v>
      </c>
      <c r="L360" s="65">
        <f>L68</f>
        <v>249.35064935064946</v>
      </c>
    </row>
    <row r="361" spans="1:12" ht="18" customHeight="1" x14ac:dyDescent="0.2">
      <c r="A361" s="80" t="s">
        <v>651</v>
      </c>
      <c r="B361" s="81"/>
      <c r="C361" s="82"/>
      <c r="D361" s="64" t="s">
        <v>458</v>
      </c>
      <c r="E361" s="80"/>
      <c r="F361" s="81"/>
      <c r="G361" s="81"/>
      <c r="H361" s="81"/>
      <c r="I361" s="82"/>
      <c r="J361" s="65">
        <f>J61</f>
        <v>9.2234296315928983</v>
      </c>
      <c r="K361" s="65">
        <f>K61</f>
        <v>5.5096418732782384</v>
      </c>
      <c r="L361" s="65">
        <f>L61</f>
        <v>10.389610389610391</v>
      </c>
    </row>
    <row r="362" spans="1:12" ht="18" customHeight="1" x14ac:dyDescent="0.2">
      <c r="A362" s="80" t="s">
        <v>652</v>
      </c>
      <c r="B362" s="81"/>
      <c r="C362" s="82"/>
      <c r="D362" s="64" t="s">
        <v>458</v>
      </c>
      <c r="E362" s="80"/>
      <c r="F362" s="81"/>
      <c r="G362" s="81"/>
      <c r="H362" s="81"/>
      <c r="I362" s="82"/>
      <c r="J362" s="65">
        <f>J71</f>
        <v>2.2597402597402598</v>
      </c>
      <c r="K362" s="65">
        <f>K71</f>
        <v>0</v>
      </c>
      <c r="L362" s="65">
        <f>L71</f>
        <v>2.4935064935064948</v>
      </c>
    </row>
    <row r="364" spans="1:12" ht="18" customHeight="1" x14ac:dyDescent="0.2">
      <c r="A364" s="47" t="s">
        <v>138</v>
      </c>
      <c r="B364" s="48"/>
      <c r="C364" s="48"/>
    </row>
    <row r="365" spans="1:12" ht="18" customHeight="1" x14ac:dyDescent="0.2">
      <c r="A365" s="83" t="s">
        <v>139</v>
      </c>
      <c r="B365" s="84"/>
      <c r="C365" s="84"/>
      <c r="D365" s="84"/>
      <c r="E365" s="84"/>
      <c r="F365" s="84"/>
      <c r="G365" s="84"/>
      <c r="H365" s="84"/>
      <c r="I365" s="84"/>
      <c r="J365" s="85"/>
      <c r="K365" s="85"/>
      <c r="L365" s="85"/>
    </row>
    <row r="366" spans="1:12" ht="18" customHeight="1" x14ac:dyDescent="0.2">
      <c r="A366" s="24" t="s">
        <v>73</v>
      </c>
      <c r="B366" s="24" t="s">
        <v>106</v>
      </c>
      <c r="C366" s="24" t="s">
        <v>84</v>
      </c>
      <c r="D366" s="24" t="s">
        <v>85</v>
      </c>
      <c r="E366" s="24"/>
      <c r="F366" s="212">
        <v>260</v>
      </c>
      <c r="G366" s="24"/>
      <c r="H366" s="24" t="s">
        <v>693</v>
      </c>
      <c r="I366" s="26" t="s">
        <v>773</v>
      </c>
      <c r="J366" s="31">
        <f>F366</f>
        <v>260</v>
      </c>
      <c r="K366" s="31">
        <f>J366</f>
        <v>260</v>
      </c>
      <c r="L366" s="31">
        <f>J366</f>
        <v>260</v>
      </c>
    </row>
    <row r="367" spans="1:12" ht="18" customHeight="1" x14ac:dyDescent="0.2">
      <c r="A367" s="24" t="s">
        <v>73</v>
      </c>
      <c r="B367" s="24" t="s">
        <v>106</v>
      </c>
      <c r="C367" s="24" t="s">
        <v>84</v>
      </c>
      <c r="D367" s="24" t="s">
        <v>86</v>
      </c>
      <c r="E367" s="24"/>
      <c r="F367" s="66"/>
      <c r="G367" s="24"/>
      <c r="H367" s="24" t="s">
        <v>20</v>
      </c>
      <c r="I367" s="26" t="s">
        <v>104</v>
      </c>
      <c r="J367" s="44">
        <f>J366 * '5. Unit Conversions'!D6</f>
        <v>5.2191830352905787E-5</v>
      </c>
      <c r="K367" s="44">
        <f>K366 * '5. Unit Conversions'!D6</f>
        <v>5.2191830352905787E-5</v>
      </c>
      <c r="L367" s="44">
        <f>L366 * '5. Unit Conversions'!D6</f>
        <v>5.2191830352905787E-5</v>
      </c>
    </row>
    <row r="368" spans="1:12" ht="18" customHeight="1" x14ac:dyDescent="0.2">
      <c r="A368" s="24" t="s">
        <v>73</v>
      </c>
      <c r="B368" s="24" t="s">
        <v>106</v>
      </c>
      <c r="C368" s="24" t="s">
        <v>45</v>
      </c>
      <c r="D368" s="24" t="s">
        <v>46</v>
      </c>
      <c r="E368" s="212">
        <v>800</v>
      </c>
      <c r="F368" s="212">
        <v>900</v>
      </c>
      <c r="G368" s="212">
        <v>1000</v>
      </c>
      <c r="H368" s="33" t="s">
        <v>693</v>
      </c>
      <c r="I368" s="26" t="s">
        <v>87</v>
      </c>
      <c r="J368" s="31">
        <f t="shared" ref="J368:J371" si="35">F368</f>
        <v>900</v>
      </c>
      <c r="K368" s="31">
        <f>E368</f>
        <v>800</v>
      </c>
      <c r="L368" s="31">
        <f>G368</f>
        <v>1000</v>
      </c>
    </row>
    <row r="369" spans="1:12" ht="18" customHeight="1" x14ac:dyDescent="0.2">
      <c r="A369" s="24" t="s">
        <v>73</v>
      </c>
      <c r="B369" s="24" t="s">
        <v>106</v>
      </c>
      <c r="C369" s="24" t="s">
        <v>88</v>
      </c>
      <c r="D369" s="24" t="s">
        <v>89</v>
      </c>
      <c r="E369" s="212">
        <v>37.5</v>
      </c>
      <c r="F369" s="217">
        <f>(E369 + G369) / 2</f>
        <v>35</v>
      </c>
      <c r="G369" s="212">
        <v>32.5</v>
      </c>
      <c r="H369" s="33" t="s">
        <v>693</v>
      </c>
      <c r="I369" s="26" t="s">
        <v>774</v>
      </c>
      <c r="J369" s="31">
        <f t="shared" si="35"/>
        <v>35</v>
      </c>
      <c r="K369" s="31">
        <f>J369</f>
        <v>35</v>
      </c>
      <c r="L369" s="31">
        <f>J369</f>
        <v>35</v>
      </c>
    </row>
    <row r="370" spans="1:12" ht="18" customHeight="1" x14ac:dyDescent="0.2">
      <c r="A370" s="24" t="s">
        <v>73</v>
      </c>
      <c r="B370" s="24" t="s">
        <v>106</v>
      </c>
      <c r="C370" s="24" t="s">
        <v>88</v>
      </c>
      <c r="D370" s="24" t="s">
        <v>546</v>
      </c>
      <c r="E370" s="38">
        <f>(141.5 / (E369 + 131.5)) * 1000</f>
        <v>837.27810650887568</v>
      </c>
      <c r="F370" s="38">
        <f t="shared" ref="F370:G370" si="36">(141.5 / (F369 + 131.5)) * 1000</f>
        <v>849.84984984984987</v>
      </c>
      <c r="G370" s="38">
        <f t="shared" si="36"/>
        <v>862.80487804878044</v>
      </c>
      <c r="H370" s="24" t="s">
        <v>20</v>
      </c>
      <c r="I370" s="26" t="s">
        <v>653</v>
      </c>
      <c r="J370" s="28">
        <f t="shared" si="35"/>
        <v>849.84984984984987</v>
      </c>
      <c r="K370" s="28">
        <f>J370</f>
        <v>849.84984984984987</v>
      </c>
      <c r="L370" s="28">
        <f>J370</f>
        <v>849.84984984984987</v>
      </c>
    </row>
    <row r="371" spans="1:12" ht="18" customHeight="1" x14ac:dyDescent="0.2">
      <c r="A371" s="24" t="s">
        <v>73</v>
      </c>
      <c r="B371" s="24" t="s">
        <v>106</v>
      </c>
      <c r="C371" s="24" t="s">
        <v>88</v>
      </c>
      <c r="D371" s="24" t="s">
        <v>92</v>
      </c>
      <c r="E371" s="38">
        <v>133.11660763961652</v>
      </c>
      <c r="F371" s="38">
        <v>135.11535550207324</v>
      </c>
      <c r="G371" s="38">
        <v>137.17504079936091</v>
      </c>
      <c r="H371" s="24" t="s">
        <v>20</v>
      </c>
      <c r="I371" s="26" t="s">
        <v>654</v>
      </c>
      <c r="J371" s="28">
        <f t="shared" si="35"/>
        <v>135.11535550207324</v>
      </c>
      <c r="K371" s="28">
        <f>J371</f>
        <v>135.11535550207324</v>
      </c>
      <c r="L371" s="28">
        <f>J371</f>
        <v>135.11535550207324</v>
      </c>
    </row>
    <row r="372" spans="1:12" ht="18" customHeight="1" x14ac:dyDescent="0.2">
      <c r="A372" s="24" t="s">
        <v>73</v>
      </c>
      <c r="B372" s="24" t="s">
        <v>106</v>
      </c>
      <c r="C372" s="24" t="s">
        <v>90</v>
      </c>
      <c r="D372" s="24" t="s">
        <v>49</v>
      </c>
      <c r="E372" s="24"/>
      <c r="F372" s="24"/>
      <c r="G372" s="24"/>
      <c r="H372" s="24"/>
      <c r="I372" s="26" t="s">
        <v>91</v>
      </c>
      <c r="J372" s="29">
        <f>J135 * J371</f>
        <v>136473063.99855867</v>
      </c>
      <c r="K372" s="29">
        <f>K135 * K371</f>
        <v>68236531.999279335</v>
      </c>
      <c r="L372" s="29">
        <f>L135 * L371</f>
        <v>272946127.99711734</v>
      </c>
    </row>
    <row r="373" spans="1:12" ht="18" customHeight="1" x14ac:dyDescent="0.2">
      <c r="A373" s="24" t="s">
        <v>73</v>
      </c>
      <c r="B373" s="24" t="s">
        <v>106</v>
      </c>
      <c r="C373" s="24" t="s">
        <v>99</v>
      </c>
      <c r="D373" s="24" t="s">
        <v>100</v>
      </c>
      <c r="E373" s="24"/>
      <c r="F373" s="24"/>
      <c r="G373" s="24"/>
      <c r="H373" s="24"/>
      <c r="I373" s="26" t="s">
        <v>101</v>
      </c>
      <c r="J373" s="29">
        <f>J367 * J368 * J372</f>
        <v>6410501.103558626</v>
      </c>
      <c r="K373" s="29">
        <f>K367 * K368 * K372</f>
        <v>2849111.6015816117</v>
      </c>
      <c r="L373" s="29">
        <f>L367 * L368 * L372</f>
        <v>14245558.007908057</v>
      </c>
    </row>
    <row r="374" spans="1:12" ht="18" customHeight="1" x14ac:dyDescent="0.2">
      <c r="A374" s="24" t="s">
        <v>73</v>
      </c>
      <c r="B374" s="24" t="s">
        <v>106</v>
      </c>
      <c r="C374" s="24" t="s">
        <v>99</v>
      </c>
      <c r="D374" s="24" t="s">
        <v>102</v>
      </c>
      <c r="E374" s="24"/>
      <c r="F374" s="24"/>
      <c r="G374" s="24"/>
      <c r="H374" s="24"/>
      <c r="I374" s="26" t="s">
        <v>103</v>
      </c>
      <c r="J374" s="29">
        <f>J373 / 1000</f>
        <v>6410.5011035586258</v>
      </c>
      <c r="K374" s="29">
        <f>K373 / 1000</f>
        <v>2849.1116015816115</v>
      </c>
      <c r="L374" s="29">
        <f>L373 / 1000</f>
        <v>14245.558007908057</v>
      </c>
    </row>
    <row r="375" spans="1:12" ht="18" customHeight="1" x14ac:dyDescent="0.2">
      <c r="A375" s="24" t="s">
        <v>73</v>
      </c>
      <c r="B375" s="24" t="s">
        <v>106</v>
      </c>
      <c r="C375" s="24" t="s">
        <v>655</v>
      </c>
      <c r="D375" s="24" t="s">
        <v>425</v>
      </c>
      <c r="E375" s="24"/>
      <c r="F375" s="38">
        <f>F31</f>
        <v>660</v>
      </c>
      <c r="G375" s="24"/>
      <c r="H375" s="33" t="s">
        <v>693</v>
      </c>
      <c r="I375" s="26" t="s">
        <v>748</v>
      </c>
      <c r="J375" s="28">
        <f>F375</f>
        <v>660</v>
      </c>
      <c r="K375" s="28">
        <f>J375</f>
        <v>660</v>
      </c>
      <c r="L375" s="28">
        <f>J375</f>
        <v>660</v>
      </c>
    </row>
    <row r="376" spans="1:12" ht="18" customHeight="1" x14ac:dyDescent="0.2">
      <c r="A376" s="24" t="s">
        <v>73</v>
      </c>
      <c r="B376" s="24" t="s">
        <v>106</v>
      </c>
      <c r="C376" s="24" t="s">
        <v>656</v>
      </c>
      <c r="D376" s="24" t="s">
        <v>432</v>
      </c>
      <c r="E376" s="24"/>
      <c r="F376" s="38"/>
      <c r="G376" s="24"/>
      <c r="H376" s="24"/>
      <c r="I376" s="26" t="s">
        <v>657</v>
      </c>
      <c r="J376" s="29">
        <f>J375 * J374</f>
        <v>4230930.7283486929</v>
      </c>
      <c r="K376" s="29">
        <f>K375 * K374</f>
        <v>1880413.6570438636</v>
      </c>
      <c r="L376" s="29">
        <f>L375 * L374</f>
        <v>9402068.2852193173</v>
      </c>
    </row>
    <row r="377" spans="1:12" ht="18" customHeight="1" x14ac:dyDescent="0.2">
      <c r="A377" s="24" t="s">
        <v>73</v>
      </c>
      <c r="B377" s="24" t="s">
        <v>106</v>
      </c>
      <c r="C377" s="24" t="s">
        <v>658</v>
      </c>
      <c r="D377" s="24" t="s">
        <v>435</v>
      </c>
      <c r="E377" s="24"/>
      <c r="F377" s="38"/>
      <c r="G377" s="24"/>
      <c r="H377" s="24"/>
      <c r="I377" s="26" t="s">
        <v>659</v>
      </c>
      <c r="J377" s="28">
        <f>J376 / J135</f>
        <v>4.1888391211874367</v>
      </c>
      <c r="K377" s="28">
        <f>K376 / K135</f>
        <v>3.7234125521666104</v>
      </c>
      <c r="L377" s="28">
        <f>L376 / L135</f>
        <v>4.6542656902082626</v>
      </c>
    </row>
    <row r="378" spans="1:12" ht="18" customHeight="1" x14ac:dyDescent="0.2">
      <c r="A378" s="83" t="s">
        <v>140</v>
      </c>
      <c r="B378" s="84"/>
      <c r="C378" s="84"/>
      <c r="D378" s="84"/>
      <c r="E378" s="84"/>
      <c r="F378" s="84"/>
      <c r="G378" s="84"/>
      <c r="H378" s="84"/>
      <c r="I378" s="84"/>
      <c r="J378" s="85"/>
      <c r="K378" s="85"/>
      <c r="L378" s="85"/>
    </row>
    <row r="379" spans="1:12" ht="18" customHeight="1" x14ac:dyDescent="0.2">
      <c r="A379" s="24" t="s">
        <v>73</v>
      </c>
      <c r="B379" s="24" t="s">
        <v>107</v>
      </c>
      <c r="C379" s="24" t="s">
        <v>660</v>
      </c>
      <c r="D379" s="24" t="s">
        <v>661</v>
      </c>
      <c r="E379" s="24"/>
      <c r="F379" s="217">
        <v>46</v>
      </c>
      <c r="G379" s="24"/>
      <c r="H379" s="33" t="s">
        <v>693</v>
      </c>
      <c r="I379" s="26" t="s">
        <v>775</v>
      </c>
      <c r="J379" s="27">
        <f>F379</f>
        <v>46</v>
      </c>
      <c r="K379" s="27">
        <f t="shared" ref="K379:K399" si="37">J379</f>
        <v>46</v>
      </c>
      <c r="L379" s="27">
        <f t="shared" ref="L379:L399" si="38">J379</f>
        <v>46</v>
      </c>
    </row>
    <row r="380" spans="1:12" ht="18" customHeight="1" x14ac:dyDescent="0.2">
      <c r="A380" s="24" t="s">
        <v>73</v>
      </c>
      <c r="B380" s="24" t="s">
        <v>107</v>
      </c>
      <c r="C380" s="24" t="s">
        <v>662</v>
      </c>
      <c r="D380" s="24" t="s">
        <v>661</v>
      </c>
      <c r="E380" s="24"/>
      <c r="F380" s="217">
        <v>50.8</v>
      </c>
      <c r="G380" s="24"/>
      <c r="H380" s="33" t="s">
        <v>693</v>
      </c>
      <c r="I380" s="26" t="s">
        <v>775</v>
      </c>
      <c r="J380" s="27">
        <f t="shared" ref="J380:J427" si="39">F380</f>
        <v>50.8</v>
      </c>
      <c r="K380" s="27">
        <f t="shared" si="37"/>
        <v>50.8</v>
      </c>
      <c r="L380" s="27">
        <f t="shared" si="38"/>
        <v>50.8</v>
      </c>
    </row>
    <row r="381" spans="1:12" ht="18" customHeight="1" x14ac:dyDescent="0.2">
      <c r="A381" s="24" t="s">
        <v>73</v>
      </c>
      <c r="B381" s="24" t="s">
        <v>107</v>
      </c>
      <c r="C381" s="24" t="s">
        <v>663</v>
      </c>
      <c r="D381" s="24" t="s">
        <v>661</v>
      </c>
      <c r="E381" s="24"/>
      <c r="F381" s="217">
        <v>30.5</v>
      </c>
      <c r="G381" s="24"/>
      <c r="H381" s="33" t="s">
        <v>693</v>
      </c>
      <c r="I381" s="26" t="s">
        <v>775</v>
      </c>
      <c r="J381" s="27">
        <f t="shared" si="39"/>
        <v>30.5</v>
      </c>
      <c r="K381" s="27">
        <f t="shared" si="37"/>
        <v>30.5</v>
      </c>
      <c r="L381" s="27">
        <f t="shared" si="38"/>
        <v>30.5</v>
      </c>
    </row>
    <row r="382" spans="1:12" ht="18" customHeight="1" x14ac:dyDescent="0.2">
      <c r="A382" s="24" t="s">
        <v>73</v>
      </c>
      <c r="B382" s="24" t="s">
        <v>107</v>
      </c>
      <c r="C382" s="24" t="s">
        <v>664</v>
      </c>
      <c r="D382" s="24" t="s">
        <v>661</v>
      </c>
      <c r="E382" s="24"/>
      <c r="F382" s="217">
        <v>35.700000000000003</v>
      </c>
      <c r="G382" s="24"/>
      <c r="H382" s="33" t="s">
        <v>693</v>
      </c>
      <c r="I382" s="26" t="s">
        <v>775</v>
      </c>
      <c r="J382" s="27">
        <f t="shared" si="39"/>
        <v>35.700000000000003</v>
      </c>
      <c r="K382" s="27">
        <f t="shared" si="37"/>
        <v>35.700000000000003</v>
      </c>
      <c r="L382" s="27">
        <f t="shared" si="38"/>
        <v>35.700000000000003</v>
      </c>
    </row>
    <row r="383" spans="1:12" ht="18" customHeight="1" x14ac:dyDescent="0.2">
      <c r="A383" s="24" t="s">
        <v>73</v>
      </c>
      <c r="B383" s="24" t="s">
        <v>107</v>
      </c>
      <c r="C383" s="24" t="s">
        <v>665</v>
      </c>
      <c r="D383" s="24" t="s">
        <v>661</v>
      </c>
      <c r="E383" s="24"/>
      <c r="F383" s="217">
        <v>42.4</v>
      </c>
      <c r="G383" s="24"/>
      <c r="H383" s="33" t="s">
        <v>693</v>
      </c>
      <c r="I383" s="26" t="s">
        <v>775</v>
      </c>
      <c r="J383" s="27">
        <f t="shared" si="39"/>
        <v>42.4</v>
      </c>
      <c r="K383" s="27">
        <f t="shared" si="37"/>
        <v>42.4</v>
      </c>
      <c r="L383" s="27">
        <f t="shared" si="38"/>
        <v>42.4</v>
      </c>
    </row>
    <row r="384" spans="1:12" ht="18" customHeight="1" x14ac:dyDescent="0.2">
      <c r="A384" s="24" t="s">
        <v>73</v>
      </c>
      <c r="B384" s="24" t="s">
        <v>107</v>
      </c>
      <c r="C384" s="24" t="s">
        <v>666</v>
      </c>
      <c r="D384" s="24" t="s">
        <v>661</v>
      </c>
      <c r="E384" s="24"/>
      <c r="F384" s="217">
        <v>28.9</v>
      </c>
      <c r="G384" s="24"/>
      <c r="H384" s="33" t="s">
        <v>693</v>
      </c>
      <c r="I384" s="26" t="s">
        <v>775</v>
      </c>
      <c r="J384" s="27">
        <f t="shared" si="39"/>
        <v>28.9</v>
      </c>
      <c r="K384" s="27">
        <f t="shared" si="37"/>
        <v>28.9</v>
      </c>
      <c r="L384" s="27">
        <f t="shared" si="38"/>
        <v>28.9</v>
      </c>
    </row>
    <row r="385" spans="1:12" ht="18" customHeight="1" x14ac:dyDescent="0.2">
      <c r="A385" s="24" t="s">
        <v>73</v>
      </c>
      <c r="B385" s="24" t="s">
        <v>107</v>
      </c>
      <c r="C385" s="24" t="s">
        <v>667</v>
      </c>
      <c r="D385" s="24" t="s">
        <v>661</v>
      </c>
      <c r="E385" s="24"/>
      <c r="F385" s="217">
        <v>67</v>
      </c>
      <c r="G385" s="24"/>
      <c r="H385" s="33" t="s">
        <v>693</v>
      </c>
      <c r="I385" s="26" t="s">
        <v>775</v>
      </c>
      <c r="J385" s="27">
        <f t="shared" si="39"/>
        <v>67</v>
      </c>
      <c r="K385" s="27">
        <f t="shared" si="37"/>
        <v>67</v>
      </c>
      <c r="L385" s="27">
        <f t="shared" si="38"/>
        <v>67</v>
      </c>
    </row>
    <row r="386" spans="1:12" ht="18" customHeight="1" x14ac:dyDescent="0.2">
      <c r="A386" s="24" t="s">
        <v>73</v>
      </c>
      <c r="B386" s="24" t="s">
        <v>107</v>
      </c>
      <c r="C386" s="24" t="s">
        <v>668</v>
      </c>
      <c r="D386" s="24" t="s">
        <v>669</v>
      </c>
      <c r="E386" s="24"/>
      <c r="F386" s="224">
        <v>5.62E-2</v>
      </c>
      <c r="G386" s="24"/>
      <c r="H386" s="33" t="s">
        <v>693</v>
      </c>
      <c r="I386" s="26" t="s">
        <v>775</v>
      </c>
      <c r="J386" s="44">
        <f t="shared" si="39"/>
        <v>5.62E-2</v>
      </c>
      <c r="K386" s="44">
        <f t="shared" si="37"/>
        <v>5.62E-2</v>
      </c>
      <c r="L386" s="44">
        <f t="shared" si="38"/>
        <v>5.62E-2</v>
      </c>
    </row>
    <row r="387" spans="1:12" ht="18" customHeight="1" x14ac:dyDescent="0.2">
      <c r="A387" s="24" t="s">
        <v>73</v>
      </c>
      <c r="B387" s="24" t="s">
        <v>107</v>
      </c>
      <c r="C387" s="24" t="s">
        <v>670</v>
      </c>
      <c r="D387" s="24" t="s">
        <v>669</v>
      </c>
      <c r="E387" s="24"/>
      <c r="F387" s="224">
        <v>6.2700000000000006E-2</v>
      </c>
      <c r="G387" s="24"/>
      <c r="H387" s="33" t="s">
        <v>693</v>
      </c>
      <c r="I387" s="26" t="s">
        <v>775</v>
      </c>
      <c r="J387" s="44">
        <f t="shared" si="39"/>
        <v>6.2700000000000006E-2</v>
      </c>
      <c r="K387" s="44">
        <f t="shared" si="37"/>
        <v>6.2700000000000006E-2</v>
      </c>
      <c r="L387" s="44">
        <f t="shared" si="38"/>
        <v>6.2700000000000006E-2</v>
      </c>
    </row>
    <row r="388" spans="1:12" ht="18" customHeight="1" x14ac:dyDescent="0.2">
      <c r="A388" s="24" t="s">
        <v>73</v>
      </c>
      <c r="B388" s="24" t="s">
        <v>107</v>
      </c>
      <c r="C388" s="24" t="s">
        <v>671</v>
      </c>
      <c r="D388" s="24" t="s">
        <v>669</v>
      </c>
      <c r="E388" s="24"/>
      <c r="F388" s="224">
        <v>3.7600000000000001E-2</v>
      </c>
      <c r="G388" s="24"/>
      <c r="H388" s="33" t="s">
        <v>693</v>
      </c>
      <c r="I388" s="26" t="s">
        <v>775</v>
      </c>
      <c r="J388" s="44">
        <f t="shared" si="39"/>
        <v>3.7600000000000001E-2</v>
      </c>
      <c r="K388" s="44">
        <f t="shared" si="37"/>
        <v>3.7600000000000001E-2</v>
      </c>
      <c r="L388" s="44">
        <f t="shared" si="38"/>
        <v>3.7600000000000001E-2</v>
      </c>
    </row>
    <row r="389" spans="1:12" ht="18" customHeight="1" x14ac:dyDescent="0.2">
      <c r="A389" s="24" t="s">
        <v>73</v>
      </c>
      <c r="B389" s="24" t="s">
        <v>107</v>
      </c>
      <c r="C389" s="24" t="s">
        <v>672</v>
      </c>
      <c r="D389" s="24" t="s">
        <v>669</v>
      </c>
      <c r="E389" s="24"/>
      <c r="F389" s="224">
        <v>4.3799999999999999E-2</v>
      </c>
      <c r="G389" s="24"/>
      <c r="H389" s="33" t="s">
        <v>693</v>
      </c>
      <c r="I389" s="26" t="s">
        <v>775</v>
      </c>
      <c r="J389" s="44">
        <f t="shared" si="39"/>
        <v>4.3799999999999999E-2</v>
      </c>
      <c r="K389" s="44">
        <f t="shared" si="37"/>
        <v>4.3799999999999999E-2</v>
      </c>
      <c r="L389" s="44">
        <f t="shared" si="38"/>
        <v>4.3799999999999999E-2</v>
      </c>
    </row>
    <row r="390" spans="1:12" ht="18" customHeight="1" x14ac:dyDescent="0.2">
      <c r="A390" s="24" t="s">
        <v>73</v>
      </c>
      <c r="B390" s="24" t="s">
        <v>107</v>
      </c>
      <c r="C390" s="24" t="s">
        <v>673</v>
      </c>
      <c r="D390" s="24" t="s">
        <v>669</v>
      </c>
      <c r="E390" s="24"/>
      <c r="F390" s="224">
        <v>5.0999999999999997E-2</v>
      </c>
      <c r="G390" s="24"/>
      <c r="H390" s="33" t="s">
        <v>693</v>
      </c>
      <c r="I390" s="26" t="s">
        <v>775</v>
      </c>
      <c r="J390" s="44">
        <f t="shared" si="39"/>
        <v>5.0999999999999997E-2</v>
      </c>
      <c r="K390" s="44">
        <f t="shared" si="37"/>
        <v>5.0999999999999997E-2</v>
      </c>
      <c r="L390" s="44">
        <f t="shared" si="38"/>
        <v>5.0999999999999997E-2</v>
      </c>
    </row>
    <row r="391" spans="1:12" ht="18" customHeight="1" x14ac:dyDescent="0.2">
      <c r="A391" s="24" t="s">
        <v>73</v>
      </c>
      <c r="B391" s="24" t="s">
        <v>107</v>
      </c>
      <c r="C391" s="24" t="s">
        <v>674</v>
      </c>
      <c r="D391" s="24" t="s">
        <v>669</v>
      </c>
      <c r="E391" s="24"/>
      <c r="F391" s="224">
        <v>3.5000000000000003E-2</v>
      </c>
      <c r="G391" s="24"/>
      <c r="H391" s="33" t="s">
        <v>693</v>
      </c>
      <c r="I391" s="26" t="s">
        <v>775</v>
      </c>
      <c r="J391" s="44">
        <f t="shared" si="39"/>
        <v>3.5000000000000003E-2</v>
      </c>
      <c r="K391" s="44">
        <f t="shared" si="37"/>
        <v>3.5000000000000003E-2</v>
      </c>
      <c r="L391" s="44">
        <f t="shared" si="38"/>
        <v>3.5000000000000003E-2</v>
      </c>
    </row>
    <row r="392" spans="1:12" ht="18" customHeight="1" x14ac:dyDescent="0.2">
      <c r="A392" s="24" t="s">
        <v>73</v>
      </c>
      <c r="B392" s="24" t="s">
        <v>107</v>
      </c>
      <c r="C392" s="24" t="s">
        <v>675</v>
      </c>
      <c r="D392" s="24" t="s">
        <v>669</v>
      </c>
      <c r="E392" s="24"/>
      <c r="F392" s="224">
        <v>8.09E-2</v>
      </c>
      <c r="G392" s="24"/>
      <c r="H392" s="33" t="s">
        <v>693</v>
      </c>
      <c r="I392" s="26" t="s">
        <v>775</v>
      </c>
      <c r="J392" s="44">
        <f t="shared" si="39"/>
        <v>8.09E-2</v>
      </c>
      <c r="K392" s="44">
        <f t="shared" si="37"/>
        <v>8.09E-2</v>
      </c>
      <c r="L392" s="44">
        <f t="shared" si="38"/>
        <v>8.09E-2</v>
      </c>
    </row>
    <row r="393" spans="1:12" ht="18" customHeight="1" x14ac:dyDescent="0.2">
      <c r="A393" s="24" t="s">
        <v>73</v>
      </c>
      <c r="B393" s="24" t="s">
        <v>107</v>
      </c>
      <c r="C393" s="24" t="s">
        <v>676</v>
      </c>
      <c r="D393" s="24" t="s">
        <v>677</v>
      </c>
      <c r="E393" s="24"/>
      <c r="F393" s="224">
        <v>7.45E-4</v>
      </c>
      <c r="G393" s="24"/>
      <c r="H393" s="33" t="s">
        <v>693</v>
      </c>
      <c r="I393" s="26" t="s">
        <v>775</v>
      </c>
      <c r="J393" s="44">
        <f t="shared" si="39"/>
        <v>7.45E-4</v>
      </c>
      <c r="K393" s="44">
        <f t="shared" si="37"/>
        <v>7.45E-4</v>
      </c>
      <c r="L393" s="44">
        <f t="shared" si="38"/>
        <v>7.45E-4</v>
      </c>
    </row>
    <row r="394" spans="1:12" ht="18" customHeight="1" x14ac:dyDescent="0.2">
      <c r="A394" s="24" t="s">
        <v>73</v>
      </c>
      <c r="B394" s="24" t="s">
        <v>107</v>
      </c>
      <c r="C394" s="24" t="s">
        <v>678</v>
      </c>
      <c r="D394" s="24" t="s">
        <v>677</v>
      </c>
      <c r="E394" s="24"/>
      <c r="F394" s="224">
        <v>7.85E-4</v>
      </c>
      <c r="G394" s="24"/>
      <c r="H394" s="33" t="s">
        <v>693</v>
      </c>
      <c r="I394" s="26" t="s">
        <v>775</v>
      </c>
      <c r="J394" s="44">
        <f t="shared" si="39"/>
        <v>7.85E-4</v>
      </c>
      <c r="K394" s="44">
        <f t="shared" si="37"/>
        <v>7.85E-4</v>
      </c>
      <c r="L394" s="44">
        <f t="shared" si="38"/>
        <v>7.85E-4</v>
      </c>
    </row>
    <row r="395" spans="1:12" ht="18" customHeight="1" x14ac:dyDescent="0.2">
      <c r="A395" s="24" t="s">
        <v>73</v>
      </c>
      <c r="B395" s="24" t="s">
        <v>107</v>
      </c>
      <c r="C395" s="24" t="s">
        <v>679</v>
      </c>
      <c r="D395" s="24" t="s">
        <v>677</v>
      </c>
      <c r="E395" s="24"/>
      <c r="F395" s="224">
        <v>4.7199999999999998E-4</v>
      </c>
      <c r="G395" s="24"/>
      <c r="H395" s="33" t="s">
        <v>693</v>
      </c>
      <c r="I395" s="26" t="s">
        <v>775</v>
      </c>
      <c r="J395" s="44">
        <f t="shared" si="39"/>
        <v>4.7199999999999998E-4</v>
      </c>
      <c r="K395" s="44">
        <f t="shared" si="37"/>
        <v>4.7199999999999998E-4</v>
      </c>
      <c r="L395" s="44">
        <f t="shared" si="38"/>
        <v>4.7199999999999998E-4</v>
      </c>
    </row>
    <row r="396" spans="1:12" ht="18" customHeight="1" x14ac:dyDescent="0.2">
      <c r="A396" s="24" t="s">
        <v>73</v>
      </c>
      <c r="B396" s="24" t="s">
        <v>107</v>
      </c>
      <c r="C396" s="24" t="s">
        <v>680</v>
      </c>
      <c r="D396" s="24" t="s">
        <v>677</v>
      </c>
      <c r="E396" s="24"/>
      <c r="F396" s="224">
        <v>5.6400000000000005E-4</v>
      </c>
      <c r="G396" s="24"/>
      <c r="H396" s="33" t="s">
        <v>693</v>
      </c>
      <c r="I396" s="26" t="s">
        <v>775</v>
      </c>
      <c r="J396" s="44">
        <f t="shared" si="39"/>
        <v>5.6400000000000005E-4</v>
      </c>
      <c r="K396" s="44">
        <f t="shared" si="37"/>
        <v>5.6400000000000005E-4</v>
      </c>
      <c r="L396" s="44">
        <f t="shared" si="38"/>
        <v>5.6400000000000005E-4</v>
      </c>
    </row>
    <row r="397" spans="1:12" ht="18" customHeight="1" x14ac:dyDescent="0.2">
      <c r="A397" s="24" t="s">
        <v>73</v>
      </c>
      <c r="B397" s="24" t="s">
        <v>107</v>
      </c>
      <c r="C397" s="24" t="s">
        <v>681</v>
      </c>
      <c r="D397" s="24" t="s">
        <v>677</v>
      </c>
      <c r="E397" s="24"/>
      <c r="F397" s="224">
        <v>7.2800000000000002E-4</v>
      </c>
      <c r="G397" s="24"/>
      <c r="H397" s="33" t="s">
        <v>693</v>
      </c>
      <c r="I397" s="26" t="s">
        <v>775</v>
      </c>
      <c r="J397" s="44">
        <f t="shared" si="39"/>
        <v>7.2800000000000002E-4</v>
      </c>
      <c r="K397" s="44">
        <f t="shared" si="37"/>
        <v>7.2800000000000002E-4</v>
      </c>
      <c r="L397" s="44">
        <f t="shared" si="38"/>
        <v>7.2800000000000002E-4</v>
      </c>
    </row>
    <row r="398" spans="1:12" ht="18" customHeight="1" x14ac:dyDescent="0.2">
      <c r="A398" s="24" t="s">
        <v>73</v>
      </c>
      <c r="B398" s="24" t="s">
        <v>107</v>
      </c>
      <c r="C398" s="24" t="s">
        <v>682</v>
      </c>
      <c r="D398" s="24" t="s">
        <v>677</v>
      </c>
      <c r="E398" s="24"/>
      <c r="F398" s="224">
        <v>4.84E-4</v>
      </c>
      <c r="G398" s="24"/>
      <c r="H398" s="33" t="s">
        <v>693</v>
      </c>
      <c r="I398" s="26" t="s">
        <v>775</v>
      </c>
      <c r="J398" s="44">
        <f t="shared" si="39"/>
        <v>4.84E-4</v>
      </c>
      <c r="K398" s="44">
        <f t="shared" si="37"/>
        <v>4.84E-4</v>
      </c>
      <c r="L398" s="44">
        <f t="shared" si="38"/>
        <v>4.84E-4</v>
      </c>
    </row>
    <row r="399" spans="1:12" ht="18" customHeight="1" x14ac:dyDescent="0.2">
      <c r="A399" s="24" t="s">
        <v>73</v>
      </c>
      <c r="B399" s="24" t="s">
        <v>107</v>
      </c>
      <c r="C399" s="24" t="s">
        <v>683</v>
      </c>
      <c r="D399" s="24" t="s">
        <v>677</v>
      </c>
      <c r="E399" s="24"/>
      <c r="F399" s="224">
        <v>1.1299999999999999E-3</v>
      </c>
      <c r="G399" s="24"/>
      <c r="H399" s="33" t="s">
        <v>693</v>
      </c>
      <c r="I399" s="26" t="s">
        <v>775</v>
      </c>
      <c r="J399" s="44">
        <f t="shared" si="39"/>
        <v>1.1299999999999999E-3</v>
      </c>
      <c r="K399" s="44">
        <f t="shared" si="37"/>
        <v>1.1299999999999999E-3</v>
      </c>
      <c r="L399" s="44">
        <f t="shared" si="38"/>
        <v>1.1299999999999999E-3</v>
      </c>
    </row>
    <row r="400" spans="1:12" ht="18" customHeight="1" x14ac:dyDescent="0.2">
      <c r="A400" s="24" t="s">
        <v>73</v>
      </c>
      <c r="B400" s="24" t="s">
        <v>107</v>
      </c>
      <c r="C400" s="24" t="s">
        <v>668</v>
      </c>
      <c r="D400" s="24" t="s">
        <v>684</v>
      </c>
      <c r="E400" s="24"/>
      <c r="F400" s="67"/>
      <c r="G400" s="24"/>
      <c r="H400" s="24" t="s">
        <v>20</v>
      </c>
      <c r="I400" s="26" t="s">
        <v>526</v>
      </c>
      <c r="J400" s="27">
        <f>J386 * '5. Unit Conversions'!$D$15</f>
        <v>1.9108000000000001</v>
      </c>
      <c r="K400" s="27">
        <f>K386 * '5. Unit Conversions'!$D$15</f>
        <v>1.9108000000000001</v>
      </c>
      <c r="L400" s="27">
        <f>L386 * '5. Unit Conversions'!$D$15</f>
        <v>1.9108000000000001</v>
      </c>
    </row>
    <row r="401" spans="1:12" ht="18" customHeight="1" x14ac:dyDescent="0.2">
      <c r="A401" s="24" t="s">
        <v>73</v>
      </c>
      <c r="B401" s="24" t="s">
        <v>107</v>
      </c>
      <c r="C401" s="24" t="s">
        <v>670</v>
      </c>
      <c r="D401" s="24" t="s">
        <v>684</v>
      </c>
      <c r="E401" s="24"/>
      <c r="F401" s="67"/>
      <c r="G401" s="24"/>
      <c r="H401" s="24" t="s">
        <v>20</v>
      </c>
      <c r="I401" s="26" t="s">
        <v>526</v>
      </c>
      <c r="J401" s="27">
        <f>J387 * '5. Unit Conversions'!$D$15</f>
        <v>2.1318000000000001</v>
      </c>
      <c r="K401" s="27">
        <f>K387 * '5. Unit Conversions'!$D$15</f>
        <v>2.1318000000000001</v>
      </c>
      <c r="L401" s="27">
        <f>L387 * '5. Unit Conversions'!$D$15</f>
        <v>2.1318000000000001</v>
      </c>
    </row>
    <row r="402" spans="1:12" ht="18" customHeight="1" x14ac:dyDescent="0.2">
      <c r="A402" s="24" t="s">
        <v>73</v>
      </c>
      <c r="B402" s="24" t="s">
        <v>107</v>
      </c>
      <c r="C402" s="24" t="s">
        <v>671</v>
      </c>
      <c r="D402" s="24" t="s">
        <v>684</v>
      </c>
      <c r="E402" s="24"/>
      <c r="F402" s="67"/>
      <c r="G402" s="24"/>
      <c r="H402" s="24" t="s">
        <v>20</v>
      </c>
      <c r="I402" s="26" t="s">
        <v>526</v>
      </c>
      <c r="J402" s="27">
        <f>J388 * '5. Unit Conversions'!$D$15</f>
        <v>1.2784</v>
      </c>
      <c r="K402" s="27">
        <f>K388 * '5. Unit Conversions'!$D$15</f>
        <v>1.2784</v>
      </c>
      <c r="L402" s="27">
        <f>L388 * '5. Unit Conversions'!$D$15</f>
        <v>1.2784</v>
      </c>
    </row>
    <row r="403" spans="1:12" ht="18" customHeight="1" x14ac:dyDescent="0.2">
      <c r="A403" s="24" t="s">
        <v>73</v>
      </c>
      <c r="B403" s="24" t="s">
        <v>107</v>
      </c>
      <c r="C403" s="24" t="s">
        <v>672</v>
      </c>
      <c r="D403" s="24" t="s">
        <v>684</v>
      </c>
      <c r="E403" s="24"/>
      <c r="F403" s="67"/>
      <c r="G403" s="24"/>
      <c r="H403" s="24" t="s">
        <v>20</v>
      </c>
      <c r="I403" s="26" t="s">
        <v>526</v>
      </c>
      <c r="J403" s="27">
        <f>J389 * '5. Unit Conversions'!$D$15</f>
        <v>1.4891999999999999</v>
      </c>
      <c r="K403" s="27">
        <f>K389 * '5. Unit Conversions'!$D$15</f>
        <v>1.4891999999999999</v>
      </c>
      <c r="L403" s="27">
        <f>L389 * '5. Unit Conversions'!$D$15</f>
        <v>1.4891999999999999</v>
      </c>
    </row>
    <row r="404" spans="1:12" ht="18" customHeight="1" x14ac:dyDescent="0.2">
      <c r="A404" s="24" t="s">
        <v>73</v>
      </c>
      <c r="B404" s="24" t="s">
        <v>107</v>
      </c>
      <c r="C404" s="24" t="s">
        <v>673</v>
      </c>
      <c r="D404" s="24" t="s">
        <v>684</v>
      </c>
      <c r="E404" s="24"/>
      <c r="F404" s="67"/>
      <c r="G404" s="24"/>
      <c r="H404" s="24" t="s">
        <v>20</v>
      </c>
      <c r="I404" s="26" t="s">
        <v>526</v>
      </c>
      <c r="J404" s="27">
        <f>J390 * '5. Unit Conversions'!$D$15</f>
        <v>1.734</v>
      </c>
      <c r="K404" s="27">
        <f>K390 * '5. Unit Conversions'!$D$15</f>
        <v>1.734</v>
      </c>
      <c r="L404" s="27">
        <f>L390 * '5. Unit Conversions'!$D$15</f>
        <v>1.734</v>
      </c>
    </row>
    <row r="405" spans="1:12" ht="18" customHeight="1" x14ac:dyDescent="0.2">
      <c r="A405" s="24" t="s">
        <v>73</v>
      </c>
      <c r="B405" s="24" t="s">
        <v>107</v>
      </c>
      <c r="C405" s="24" t="s">
        <v>674</v>
      </c>
      <c r="D405" s="24" t="s">
        <v>684</v>
      </c>
      <c r="E405" s="24"/>
      <c r="F405" s="67"/>
      <c r="G405" s="24"/>
      <c r="H405" s="24" t="s">
        <v>20</v>
      </c>
      <c r="I405" s="26" t="s">
        <v>526</v>
      </c>
      <c r="J405" s="27">
        <f>J391 * '5. Unit Conversions'!$D$15</f>
        <v>1.1900000000000002</v>
      </c>
      <c r="K405" s="27">
        <f>K391 * '5. Unit Conversions'!$D$15</f>
        <v>1.1900000000000002</v>
      </c>
      <c r="L405" s="27">
        <f>L391 * '5. Unit Conversions'!$D$15</f>
        <v>1.1900000000000002</v>
      </c>
    </row>
    <row r="406" spans="1:12" ht="18" customHeight="1" x14ac:dyDescent="0.2">
      <c r="A406" s="24" t="s">
        <v>73</v>
      </c>
      <c r="B406" s="24" t="s">
        <v>107</v>
      </c>
      <c r="C406" s="24" t="s">
        <v>675</v>
      </c>
      <c r="D406" s="24" t="s">
        <v>684</v>
      </c>
      <c r="E406" s="24"/>
      <c r="F406" s="67"/>
      <c r="G406" s="24"/>
      <c r="H406" s="24" t="s">
        <v>20</v>
      </c>
      <c r="I406" s="26" t="s">
        <v>526</v>
      </c>
      <c r="J406" s="27">
        <f>J392 * '5. Unit Conversions'!$D$15</f>
        <v>2.7505999999999999</v>
      </c>
      <c r="K406" s="27">
        <f>K392 * '5. Unit Conversions'!$D$15</f>
        <v>2.7505999999999999</v>
      </c>
      <c r="L406" s="27">
        <f>L392 * '5. Unit Conversions'!$D$15</f>
        <v>2.7505999999999999</v>
      </c>
    </row>
    <row r="407" spans="1:12" ht="18" customHeight="1" x14ac:dyDescent="0.2">
      <c r="A407" s="24" t="s">
        <v>73</v>
      </c>
      <c r="B407" s="24" t="s">
        <v>107</v>
      </c>
      <c r="C407" s="24" t="s">
        <v>676</v>
      </c>
      <c r="D407" s="24" t="s">
        <v>684</v>
      </c>
      <c r="E407" s="24"/>
      <c r="F407" s="67"/>
      <c r="G407" s="24"/>
      <c r="H407" s="24" t="s">
        <v>20</v>
      </c>
      <c r="I407" s="26" t="s">
        <v>527</v>
      </c>
      <c r="J407" s="27">
        <f>J393 * '5. Unit Conversions'!$D$16</f>
        <v>0.22201000000000001</v>
      </c>
      <c r="K407" s="27">
        <f>K393 * '5. Unit Conversions'!$D$16</f>
        <v>0.22201000000000001</v>
      </c>
      <c r="L407" s="27">
        <f>L393 * '5. Unit Conversions'!$D$16</f>
        <v>0.22201000000000001</v>
      </c>
    </row>
    <row r="408" spans="1:12" ht="18" customHeight="1" x14ac:dyDescent="0.2">
      <c r="A408" s="24" t="s">
        <v>73</v>
      </c>
      <c r="B408" s="24" t="s">
        <v>107</v>
      </c>
      <c r="C408" s="24" t="s">
        <v>678</v>
      </c>
      <c r="D408" s="24" t="s">
        <v>684</v>
      </c>
      <c r="E408" s="24"/>
      <c r="F408" s="67"/>
      <c r="G408" s="24"/>
      <c r="H408" s="24" t="s">
        <v>20</v>
      </c>
      <c r="I408" s="26" t="s">
        <v>527</v>
      </c>
      <c r="J408" s="27">
        <f>J394 * '5. Unit Conversions'!$D$16</f>
        <v>0.23393</v>
      </c>
      <c r="K408" s="27">
        <f>K394 * '5. Unit Conversions'!$D$16</f>
        <v>0.23393</v>
      </c>
      <c r="L408" s="27">
        <f>L394 * '5. Unit Conversions'!$D$16</f>
        <v>0.23393</v>
      </c>
    </row>
    <row r="409" spans="1:12" ht="18" customHeight="1" x14ac:dyDescent="0.2">
      <c r="A409" s="24" t="s">
        <v>73</v>
      </c>
      <c r="B409" s="24" t="s">
        <v>107</v>
      </c>
      <c r="C409" s="24" t="s">
        <v>679</v>
      </c>
      <c r="D409" s="24" t="s">
        <v>684</v>
      </c>
      <c r="E409" s="24"/>
      <c r="F409" s="67"/>
      <c r="G409" s="24"/>
      <c r="H409" s="24" t="s">
        <v>20</v>
      </c>
      <c r="I409" s="26" t="s">
        <v>527</v>
      </c>
      <c r="J409" s="27">
        <f>J395 * '5. Unit Conversions'!$D$16</f>
        <v>0.140656</v>
      </c>
      <c r="K409" s="27">
        <f>K395 * '5. Unit Conversions'!$D$16</f>
        <v>0.140656</v>
      </c>
      <c r="L409" s="27">
        <f>L395 * '5. Unit Conversions'!$D$16</f>
        <v>0.140656</v>
      </c>
    </row>
    <row r="410" spans="1:12" ht="18" customHeight="1" x14ac:dyDescent="0.2">
      <c r="A410" s="24" t="s">
        <v>73</v>
      </c>
      <c r="B410" s="24" t="s">
        <v>107</v>
      </c>
      <c r="C410" s="24" t="s">
        <v>680</v>
      </c>
      <c r="D410" s="24" t="s">
        <v>684</v>
      </c>
      <c r="E410" s="24"/>
      <c r="F410" s="67"/>
      <c r="G410" s="24"/>
      <c r="H410" s="24" t="s">
        <v>20</v>
      </c>
      <c r="I410" s="26" t="s">
        <v>527</v>
      </c>
      <c r="J410" s="27">
        <f>J396 * '5. Unit Conversions'!$D$16</f>
        <v>0.16807200000000003</v>
      </c>
      <c r="K410" s="27">
        <f>K396 * '5. Unit Conversions'!$D$16</f>
        <v>0.16807200000000003</v>
      </c>
      <c r="L410" s="27">
        <f>L396 * '5. Unit Conversions'!$D$16</f>
        <v>0.16807200000000003</v>
      </c>
    </row>
    <row r="411" spans="1:12" ht="18" customHeight="1" x14ac:dyDescent="0.2">
      <c r="A411" s="24" t="s">
        <v>73</v>
      </c>
      <c r="B411" s="24" t="s">
        <v>107</v>
      </c>
      <c r="C411" s="24" t="s">
        <v>681</v>
      </c>
      <c r="D411" s="24" t="s">
        <v>684</v>
      </c>
      <c r="E411" s="24"/>
      <c r="F411" s="67"/>
      <c r="G411" s="24"/>
      <c r="H411" s="24" t="s">
        <v>20</v>
      </c>
      <c r="I411" s="26" t="s">
        <v>527</v>
      </c>
      <c r="J411" s="27">
        <f>J397 * '5. Unit Conversions'!$D$16</f>
        <v>0.216944</v>
      </c>
      <c r="K411" s="27">
        <f>K397 * '5. Unit Conversions'!$D$16</f>
        <v>0.216944</v>
      </c>
      <c r="L411" s="27">
        <f>L397 * '5. Unit Conversions'!$D$16</f>
        <v>0.216944</v>
      </c>
    </row>
    <row r="412" spans="1:12" ht="18" customHeight="1" x14ac:dyDescent="0.2">
      <c r="A412" s="24" t="s">
        <v>73</v>
      </c>
      <c r="B412" s="24" t="s">
        <v>107</v>
      </c>
      <c r="C412" s="24" t="s">
        <v>682</v>
      </c>
      <c r="D412" s="24" t="s">
        <v>684</v>
      </c>
      <c r="E412" s="24"/>
      <c r="F412" s="67"/>
      <c r="G412" s="24"/>
      <c r="H412" s="24" t="s">
        <v>20</v>
      </c>
      <c r="I412" s="26" t="s">
        <v>527</v>
      </c>
      <c r="J412" s="27">
        <f>J398 * '5. Unit Conversions'!$D$16</f>
        <v>0.144232</v>
      </c>
      <c r="K412" s="27">
        <f>K398 * '5. Unit Conversions'!$D$16</f>
        <v>0.144232</v>
      </c>
      <c r="L412" s="27">
        <f>L398 * '5. Unit Conversions'!$D$16</f>
        <v>0.144232</v>
      </c>
    </row>
    <row r="413" spans="1:12" ht="18" customHeight="1" x14ac:dyDescent="0.2">
      <c r="A413" s="24" t="s">
        <v>73</v>
      </c>
      <c r="B413" s="24" t="s">
        <v>107</v>
      </c>
      <c r="C413" s="24" t="s">
        <v>683</v>
      </c>
      <c r="D413" s="24" t="s">
        <v>684</v>
      </c>
      <c r="E413" s="24"/>
      <c r="F413" s="67"/>
      <c r="G413" s="24"/>
      <c r="H413" s="24" t="s">
        <v>20</v>
      </c>
      <c r="I413" s="26" t="s">
        <v>527</v>
      </c>
      <c r="J413" s="27">
        <f>J399 * '5. Unit Conversions'!$D$16</f>
        <v>0.33673999999999998</v>
      </c>
      <c r="K413" s="27">
        <f>K399 * '5. Unit Conversions'!$D$16</f>
        <v>0.33673999999999998</v>
      </c>
      <c r="L413" s="27">
        <f>L399 * '5. Unit Conversions'!$D$16</f>
        <v>0.33673999999999998</v>
      </c>
    </row>
    <row r="414" spans="1:12" ht="18" customHeight="1" x14ac:dyDescent="0.2">
      <c r="A414" s="24" t="s">
        <v>73</v>
      </c>
      <c r="B414" s="24" t="s">
        <v>107</v>
      </c>
      <c r="C414" s="24" t="s">
        <v>660</v>
      </c>
      <c r="D414" s="24" t="s">
        <v>684</v>
      </c>
      <c r="E414" s="24"/>
      <c r="F414" s="25"/>
      <c r="G414" s="24"/>
      <c r="H414" s="24" t="s">
        <v>20</v>
      </c>
      <c r="I414" s="26" t="s">
        <v>685</v>
      </c>
      <c r="J414" s="27">
        <f>J379 + J400 + J407</f>
        <v>48.132809999999999</v>
      </c>
      <c r="K414" s="27">
        <f>K379 + K400 + K407</f>
        <v>48.132809999999999</v>
      </c>
      <c r="L414" s="27">
        <f>L379 + L400 + L407</f>
        <v>48.132809999999999</v>
      </c>
    </row>
    <row r="415" spans="1:12" ht="18" customHeight="1" x14ac:dyDescent="0.2">
      <c r="A415" s="24" t="s">
        <v>73</v>
      </c>
      <c r="B415" s="24" t="s">
        <v>107</v>
      </c>
      <c r="C415" s="24" t="s">
        <v>662</v>
      </c>
      <c r="D415" s="24" t="s">
        <v>684</v>
      </c>
      <c r="E415" s="24"/>
      <c r="F415" s="25"/>
      <c r="G415" s="24"/>
      <c r="H415" s="24" t="s">
        <v>20</v>
      </c>
      <c r="I415" s="26" t="s">
        <v>685</v>
      </c>
      <c r="J415" s="27">
        <f t="shared" ref="J415:K420" si="40">J380 + J401 + J408</f>
        <v>53.165729999999996</v>
      </c>
      <c r="K415" s="27">
        <f t="shared" si="40"/>
        <v>53.165729999999996</v>
      </c>
      <c r="L415" s="27">
        <f t="shared" ref="L415" si="41">L380 + L401 + L408</f>
        <v>53.165729999999996</v>
      </c>
    </row>
    <row r="416" spans="1:12" ht="18" customHeight="1" x14ac:dyDescent="0.2">
      <c r="A416" s="24" t="s">
        <v>73</v>
      </c>
      <c r="B416" s="24" t="s">
        <v>107</v>
      </c>
      <c r="C416" s="24" t="s">
        <v>663</v>
      </c>
      <c r="D416" s="24" t="s">
        <v>684</v>
      </c>
      <c r="E416" s="24"/>
      <c r="F416" s="25"/>
      <c r="G416" s="24"/>
      <c r="H416" s="24" t="s">
        <v>20</v>
      </c>
      <c r="I416" s="26" t="s">
        <v>685</v>
      </c>
      <c r="J416" s="27">
        <f t="shared" si="40"/>
        <v>31.919056000000001</v>
      </c>
      <c r="K416" s="27">
        <f t="shared" si="40"/>
        <v>31.919056000000001</v>
      </c>
      <c r="L416" s="27">
        <f t="shared" ref="L416" si="42">L381 + L402 + L409</f>
        <v>31.919056000000001</v>
      </c>
    </row>
    <row r="417" spans="1:12" ht="18" customHeight="1" x14ac:dyDescent="0.2">
      <c r="A417" s="24" t="s">
        <v>73</v>
      </c>
      <c r="B417" s="24" t="s">
        <v>107</v>
      </c>
      <c r="C417" s="24" t="s">
        <v>664</v>
      </c>
      <c r="D417" s="24" t="s">
        <v>684</v>
      </c>
      <c r="E417" s="24"/>
      <c r="F417" s="25"/>
      <c r="G417" s="24"/>
      <c r="H417" s="24" t="s">
        <v>20</v>
      </c>
      <c r="I417" s="26" t="s">
        <v>685</v>
      </c>
      <c r="J417" s="27">
        <f t="shared" si="40"/>
        <v>37.357272000000002</v>
      </c>
      <c r="K417" s="27">
        <f t="shared" si="40"/>
        <v>37.357272000000002</v>
      </c>
      <c r="L417" s="27">
        <f t="shared" ref="L417" si="43">L382 + L403 + L410</f>
        <v>37.357272000000002</v>
      </c>
    </row>
    <row r="418" spans="1:12" ht="18" customHeight="1" x14ac:dyDescent="0.2">
      <c r="A418" s="24" t="s">
        <v>73</v>
      </c>
      <c r="B418" s="24" t="s">
        <v>107</v>
      </c>
      <c r="C418" s="24" t="s">
        <v>665</v>
      </c>
      <c r="D418" s="24" t="s">
        <v>684</v>
      </c>
      <c r="E418" s="24"/>
      <c r="F418" s="25"/>
      <c r="G418" s="24"/>
      <c r="H418" s="24" t="s">
        <v>20</v>
      </c>
      <c r="I418" s="26" t="s">
        <v>685</v>
      </c>
      <c r="J418" s="27">
        <f t="shared" si="40"/>
        <v>44.350943999999998</v>
      </c>
      <c r="K418" s="27">
        <f t="shared" si="40"/>
        <v>44.350943999999998</v>
      </c>
      <c r="L418" s="27">
        <f t="shared" ref="L418" si="44">L383 + L404 + L411</f>
        <v>44.350943999999998</v>
      </c>
    </row>
    <row r="419" spans="1:12" ht="18" customHeight="1" x14ac:dyDescent="0.2">
      <c r="A419" s="24" t="s">
        <v>73</v>
      </c>
      <c r="B419" s="24" t="s">
        <v>107</v>
      </c>
      <c r="C419" s="24" t="s">
        <v>666</v>
      </c>
      <c r="D419" s="24" t="s">
        <v>684</v>
      </c>
      <c r="E419" s="24"/>
      <c r="F419" s="25"/>
      <c r="G419" s="24"/>
      <c r="H419" s="24" t="s">
        <v>20</v>
      </c>
      <c r="I419" s="26" t="s">
        <v>685</v>
      </c>
      <c r="J419" s="27">
        <f t="shared" si="40"/>
        <v>30.234231999999999</v>
      </c>
      <c r="K419" s="27">
        <f t="shared" si="40"/>
        <v>30.234231999999999</v>
      </c>
      <c r="L419" s="27">
        <f t="shared" ref="L419" si="45">L384 + L405 + L412</f>
        <v>30.234231999999999</v>
      </c>
    </row>
    <row r="420" spans="1:12" ht="18" customHeight="1" x14ac:dyDescent="0.2">
      <c r="A420" s="24" t="s">
        <v>73</v>
      </c>
      <c r="B420" s="24" t="s">
        <v>107</v>
      </c>
      <c r="C420" s="24" t="s">
        <v>667</v>
      </c>
      <c r="D420" s="24" t="s">
        <v>684</v>
      </c>
      <c r="E420" s="24"/>
      <c r="F420" s="25"/>
      <c r="G420" s="24"/>
      <c r="H420" s="24" t="s">
        <v>20</v>
      </c>
      <c r="I420" s="26" t="s">
        <v>685</v>
      </c>
      <c r="J420" s="27">
        <f t="shared" si="40"/>
        <v>70.087340000000012</v>
      </c>
      <c r="K420" s="27">
        <f t="shared" si="40"/>
        <v>70.087340000000012</v>
      </c>
      <c r="L420" s="27">
        <f t="shared" ref="L420" si="46">L385 + L406 + L413</f>
        <v>70.087340000000012</v>
      </c>
    </row>
    <row r="421" spans="1:12" ht="18" customHeight="1" x14ac:dyDescent="0.2">
      <c r="A421" s="24" t="s">
        <v>73</v>
      </c>
      <c r="B421" s="24" t="s">
        <v>107</v>
      </c>
      <c r="C421" s="24" t="s">
        <v>76</v>
      </c>
      <c r="D421" s="24" t="s">
        <v>75</v>
      </c>
      <c r="E421" s="24"/>
      <c r="F421" s="209">
        <v>0.45</v>
      </c>
      <c r="G421" s="24"/>
      <c r="H421" s="33" t="s">
        <v>693</v>
      </c>
      <c r="I421" s="26" t="s">
        <v>775</v>
      </c>
      <c r="J421" s="40">
        <f t="shared" si="39"/>
        <v>0.45</v>
      </c>
      <c r="K421" s="40">
        <f t="shared" ref="K421:K427" si="47">J421</f>
        <v>0.45</v>
      </c>
      <c r="L421" s="40">
        <f t="shared" ref="L421:L427" si="48">J421</f>
        <v>0.45</v>
      </c>
    </row>
    <row r="422" spans="1:12" ht="18" customHeight="1" x14ac:dyDescent="0.2">
      <c r="A422" s="24" t="s">
        <v>73</v>
      </c>
      <c r="B422" s="24" t="s">
        <v>107</v>
      </c>
      <c r="C422" s="24" t="s">
        <v>77</v>
      </c>
      <c r="D422" s="24" t="s">
        <v>75</v>
      </c>
      <c r="E422" s="24"/>
      <c r="F422" s="209">
        <v>0.23</v>
      </c>
      <c r="G422" s="24"/>
      <c r="H422" s="33" t="s">
        <v>693</v>
      </c>
      <c r="I422" s="26" t="s">
        <v>775</v>
      </c>
      <c r="J422" s="40">
        <f t="shared" si="39"/>
        <v>0.23</v>
      </c>
      <c r="K422" s="40">
        <f t="shared" si="47"/>
        <v>0.23</v>
      </c>
      <c r="L422" s="40">
        <f t="shared" si="48"/>
        <v>0.23</v>
      </c>
    </row>
    <row r="423" spans="1:12" ht="18" customHeight="1" x14ac:dyDescent="0.2">
      <c r="A423" s="24" t="s">
        <v>73</v>
      </c>
      <c r="B423" s="24" t="s">
        <v>107</v>
      </c>
      <c r="C423" s="24" t="s">
        <v>78</v>
      </c>
      <c r="D423" s="24" t="s">
        <v>75</v>
      </c>
      <c r="E423" s="24"/>
      <c r="F423" s="209">
        <v>0.09</v>
      </c>
      <c r="G423" s="24"/>
      <c r="H423" s="33" t="s">
        <v>693</v>
      </c>
      <c r="I423" s="26" t="s">
        <v>775</v>
      </c>
      <c r="J423" s="40">
        <f t="shared" si="39"/>
        <v>0.09</v>
      </c>
      <c r="K423" s="40">
        <f t="shared" si="47"/>
        <v>0.09</v>
      </c>
      <c r="L423" s="40">
        <f t="shared" si="48"/>
        <v>0.09</v>
      </c>
    </row>
    <row r="424" spans="1:12" ht="18" customHeight="1" x14ac:dyDescent="0.2">
      <c r="A424" s="24" t="s">
        <v>73</v>
      </c>
      <c r="B424" s="24" t="s">
        <v>107</v>
      </c>
      <c r="C424" s="24" t="s">
        <v>79</v>
      </c>
      <c r="D424" s="24" t="s">
        <v>75</v>
      </c>
      <c r="E424" s="24"/>
      <c r="F424" s="209">
        <v>0.04</v>
      </c>
      <c r="G424" s="24"/>
      <c r="H424" s="33" t="s">
        <v>693</v>
      </c>
      <c r="I424" s="26" t="s">
        <v>775</v>
      </c>
      <c r="J424" s="40">
        <f t="shared" si="39"/>
        <v>0.04</v>
      </c>
      <c r="K424" s="40">
        <f t="shared" si="47"/>
        <v>0.04</v>
      </c>
      <c r="L424" s="40">
        <f t="shared" si="48"/>
        <v>0.04</v>
      </c>
    </row>
    <row r="425" spans="1:12" ht="18" customHeight="1" x14ac:dyDescent="0.2">
      <c r="A425" s="24" t="s">
        <v>73</v>
      </c>
      <c r="B425" s="24" t="s">
        <v>107</v>
      </c>
      <c r="C425" s="24" t="s">
        <v>80</v>
      </c>
      <c r="D425" s="24" t="s">
        <v>75</v>
      </c>
      <c r="E425" s="24"/>
      <c r="F425" s="209">
        <v>0.05</v>
      </c>
      <c r="G425" s="24"/>
      <c r="H425" s="33" t="s">
        <v>693</v>
      </c>
      <c r="I425" s="26" t="s">
        <v>775</v>
      </c>
      <c r="J425" s="40">
        <f t="shared" si="39"/>
        <v>0.05</v>
      </c>
      <c r="K425" s="40">
        <f t="shared" si="47"/>
        <v>0.05</v>
      </c>
      <c r="L425" s="40">
        <f t="shared" si="48"/>
        <v>0.05</v>
      </c>
    </row>
    <row r="426" spans="1:12" ht="18" customHeight="1" x14ac:dyDescent="0.2">
      <c r="A426" s="24" t="s">
        <v>73</v>
      </c>
      <c r="B426" s="24" t="s">
        <v>107</v>
      </c>
      <c r="C426" s="24" t="s">
        <v>81</v>
      </c>
      <c r="D426" s="24" t="s">
        <v>75</v>
      </c>
      <c r="E426" s="24"/>
      <c r="F426" s="209">
        <v>0.1</v>
      </c>
      <c r="G426" s="24"/>
      <c r="H426" s="33" t="s">
        <v>693</v>
      </c>
      <c r="I426" s="26" t="s">
        <v>775</v>
      </c>
      <c r="J426" s="40">
        <f t="shared" si="39"/>
        <v>0.1</v>
      </c>
      <c r="K426" s="40">
        <f t="shared" si="47"/>
        <v>0.1</v>
      </c>
      <c r="L426" s="40">
        <f t="shared" si="48"/>
        <v>0.1</v>
      </c>
    </row>
    <row r="427" spans="1:12" ht="18" customHeight="1" x14ac:dyDescent="0.2">
      <c r="A427" s="24" t="s">
        <v>73</v>
      </c>
      <c r="B427" s="24" t="s">
        <v>107</v>
      </c>
      <c r="C427" s="24" t="s">
        <v>82</v>
      </c>
      <c r="D427" s="24" t="s">
        <v>75</v>
      </c>
      <c r="E427" s="24"/>
      <c r="F427" s="209">
        <v>0.04</v>
      </c>
      <c r="G427" s="24"/>
      <c r="H427" s="33" t="s">
        <v>693</v>
      </c>
      <c r="I427" s="26" t="s">
        <v>775</v>
      </c>
      <c r="J427" s="40">
        <f t="shared" si="39"/>
        <v>0.04</v>
      </c>
      <c r="K427" s="40">
        <f t="shared" si="47"/>
        <v>0.04</v>
      </c>
      <c r="L427" s="40">
        <f t="shared" si="48"/>
        <v>0.04</v>
      </c>
    </row>
    <row r="428" spans="1:12" ht="18" customHeight="1" x14ac:dyDescent="0.2">
      <c r="A428" s="24" t="s">
        <v>73</v>
      </c>
      <c r="B428" s="24" t="s">
        <v>107</v>
      </c>
      <c r="C428" s="24" t="s">
        <v>660</v>
      </c>
      <c r="D428" s="24" t="s">
        <v>686</v>
      </c>
      <c r="E428" s="24"/>
      <c r="F428" s="25"/>
      <c r="G428" s="24"/>
      <c r="H428" s="24" t="s">
        <v>20</v>
      </c>
      <c r="I428" s="26" t="s">
        <v>327</v>
      </c>
      <c r="J428" s="27">
        <f>J414 * J421</f>
        <v>21.659764500000001</v>
      </c>
      <c r="K428" s="27">
        <f>K414 * K421</f>
        <v>21.659764500000001</v>
      </c>
      <c r="L428" s="27">
        <f>L414 * L421</f>
        <v>21.659764500000001</v>
      </c>
    </row>
    <row r="429" spans="1:12" ht="18" customHeight="1" x14ac:dyDescent="0.2">
      <c r="A429" s="24" t="s">
        <v>73</v>
      </c>
      <c r="B429" s="24" t="s">
        <v>107</v>
      </c>
      <c r="C429" s="24" t="s">
        <v>662</v>
      </c>
      <c r="D429" s="24" t="s">
        <v>686</v>
      </c>
      <c r="E429" s="24"/>
      <c r="F429" s="25"/>
      <c r="G429" s="24"/>
      <c r="H429" s="24" t="s">
        <v>20</v>
      </c>
      <c r="I429" s="26" t="s">
        <v>327</v>
      </c>
      <c r="J429" s="27">
        <f t="shared" ref="J429:K434" si="49">J415 * J422</f>
        <v>12.228117899999999</v>
      </c>
      <c r="K429" s="27">
        <f t="shared" si="49"/>
        <v>12.228117899999999</v>
      </c>
      <c r="L429" s="27">
        <f t="shared" ref="L429" si="50">L415 * L422</f>
        <v>12.228117899999999</v>
      </c>
    </row>
    <row r="430" spans="1:12" ht="18" customHeight="1" x14ac:dyDescent="0.2">
      <c r="A430" s="24" t="s">
        <v>73</v>
      </c>
      <c r="B430" s="24" t="s">
        <v>107</v>
      </c>
      <c r="C430" s="24" t="s">
        <v>663</v>
      </c>
      <c r="D430" s="24" t="s">
        <v>686</v>
      </c>
      <c r="E430" s="24"/>
      <c r="F430" s="25"/>
      <c r="G430" s="24"/>
      <c r="H430" s="24" t="s">
        <v>20</v>
      </c>
      <c r="I430" s="26" t="s">
        <v>327</v>
      </c>
      <c r="J430" s="27">
        <f t="shared" si="49"/>
        <v>2.8727150400000001</v>
      </c>
      <c r="K430" s="27">
        <f t="shared" si="49"/>
        <v>2.8727150400000001</v>
      </c>
      <c r="L430" s="27">
        <f t="shared" ref="L430" si="51">L416 * L423</f>
        <v>2.8727150400000001</v>
      </c>
    </row>
    <row r="431" spans="1:12" ht="18" customHeight="1" x14ac:dyDescent="0.2">
      <c r="A431" s="24" t="s">
        <v>73</v>
      </c>
      <c r="B431" s="24" t="s">
        <v>107</v>
      </c>
      <c r="C431" s="24" t="s">
        <v>664</v>
      </c>
      <c r="D431" s="24" t="s">
        <v>686</v>
      </c>
      <c r="E431" s="24"/>
      <c r="F431" s="25"/>
      <c r="G431" s="24"/>
      <c r="H431" s="24" t="s">
        <v>20</v>
      </c>
      <c r="I431" s="26" t="s">
        <v>327</v>
      </c>
      <c r="J431" s="27">
        <f t="shared" si="49"/>
        <v>1.4942908800000001</v>
      </c>
      <c r="K431" s="27">
        <f t="shared" si="49"/>
        <v>1.4942908800000001</v>
      </c>
      <c r="L431" s="27">
        <f t="shared" ref="L431" si="52">L417 * L424</f>
        <v>1.4942908800000001</v>
      </c>
    </row>
    <row r="432" spans="1:12" ht="18" customHeight="1" x14ac:dyDescent="0.2">
      <c r="A432" s="24" t="s">
        <v>73</v>
      </c>
      <c r="B432" s="24" t="s">
        <v>107</v>
      </c>
      <c r="C432" s="24" t="s">
        <v>665</v>
      </c>
      <c r="D432" s="24" t="s">
        <v>686</v>
      </c>
      <c r="E432" s="24"/>
      <c r="F432" s="25"/>
      <c r="G432" s="24"/>
      <c r="H432" s="24" t="s">
        <v>20</v>
      </c>
      <c r="I432" s="26" t="s">
        <v>327</v>
      </c>
      <c r="J432" s="27">
        <f t="shared" si="49"/>
        <v>2.2175471999999998</v>
      </c>
      <c r="K432" s="27">
        <f t="shared" si="49"/>
        <v>2.2175471999999998</v>
      </c>
      <c r="L432" s="27">
        <f t="shared" ref="L432" si="53">L418 * L425</f>
        <v>2.2175471999999998</v>
      </c>
    </row>
    <row r="433" spans="1:13" ht="18" customHeight="1" x14ac:dyDescent="0.2">
      <c r="A433" s="24" t="s">
        <v>73</v>
      </c>
      <c r="B433" s="24" t="s">
        <v>107</v>
      </c>
      <c r="C433" s="24" t="s">
        <v>666</v>
      </c>
      <c r="D433" s="24" t="s">
        <v>686</v>
      </c>
      <c r="E433" s="24"/>
      <c r="F433" s="25"/>
      <c r="G433" s="24"/>
      <c r="H433" s="24" t="s">
        <v>20</v>
      </c>
      <c r="I433" s="26" t="s">
        <v>327</v>
      </c>
      <c r="J433" s="27">
        <f t="shared" si="49"/>
        <v>3.0234231999999999</v>
      </c>
      <c r="K433" s="27">
        <f t="shared" si="49"/>
        <v>3.0234231999999999</v>
      </c>
      <c r="L433" s="27">
        <f t="shared" ref="L433" si="54">L419 * L426</f>
        <v>3.0234231999999999</v>
      </c>
    </row>
    <row r="434" spans="1:13" ht="18" customHeight="1" x14ac:dyDescent="0.2">
      <c r="A434" s="24" t="s">
        <v>73</v>
      </c>
      <c r="B434" s="24" t="s">
        <v>107</v>
      </c>
      <c r="C434" s="24" t="s">
        <v>667</v>
      </c>
      <c r="D434" s="24" t="s">
        <v>686</v>
      </c>
      <c r="E434" s="24"/>
      <c r="F434" s="25"/>
      <c r="G434" s="24"/>
      <c r="H434" s="24" t="s">
        <v>20</v>
      </c>
      <c r="I434" s="26" t="s">
        <v>327</v>
      </c>
      <c r="J434" s="27">
        <f t="shared" si="49"/>
        <v>2.8034936000000004</v>
      </c>
      <c r="K434" s="27">
        <f t="shared" si="49"/>
        <v>2.8034936000000004</v>
      </c>
      <c r="L434" s="27">
        <f t="shared" ref="L434" si="55">L420 * L427</f>
        <v>2.8034936000000004</v>
      </c>
    </row>
    <row r="435" spans="1:13" ht="18" customHeight="1" x14ac:dyDescent="0.2">
      <c r="A435" s="24" t="s">
        <v>73</v>
      </c>
      <c r="B435" s="24" t="s">
        <v>107</v>
      </c>
      <c r="C435" s="24" t="s">
        <v>83</v>
      </c>
      <c r="D435" s="24" t="s">
        <v>686</v>
      </c>
      <c r="E435" s="24"/>
      <c r="F435" s="25"/>
      <c r="G435" s="24"/>
      <c r="H435" s="24" t="s">
        <v>20</v>
      </c>
      <c r="I435" s="26" t="s">
        <v>83</v>
      </c>
      <c r="J435" s="28">
        <f>SUM(J428:J434)</f>
        <v>46.299352320000004</v>
      </c>
      <c r="K435" s="28">
        <f>SUM(K428:K434)</f>
        <v>46.299352320000004</v>
      </c>
      <c r="L435" s="28">
        <f>SUM(L428:L434)</f>
        <v>46.299352320000004</v>
      </c>
    </row>
    <row r="436" spans="1:13" ht="18" customHeight="1" x14ac:dyDescent="0.2">
      <c r="A436" s="83" t="s">
        <v>141</v>
      </c>
      <c r="B436" s="84"/>
      <c r="C436" s="84"/>
      <c r="D436" s="84"/>
      <c r="E436" s="84"/>
      <c r="F436" s="84"/>
      <c r="G436" s="84"/>
      <c r="H436" s="84"/>
      <c r="I436" s="84"/>
      <c r="J436" s="85"/>
      <c r="K436" s="85"/>
      <c r="L436" s="85"/>
    </row>
    <row r="437" spans="1:13" ht="18" customHeight="1" x14ac:dyDescent="0.2">
      <c r="A437" s="24" t="s">
        <v>73</v>
      </c>
      <c r="B437" s="24" t="s">
        <v>108</v>
      </c>
      <c r="C437" s="24" t="s">
        <v>494</v>
      </c>
      <c r="D437" s="24" t="s">
        <v>435</v>
      </c>
      <c r="E437" s="24"/>
      <c r="F437" s="212">
        <v>4.54</v>
      </c>
      <c r="G437" s="24"/>
      <c r="H437" s="33" t="s">
        <v>693</v>
      </c>
      <c r="I437" s="26" t="s">
        <v>775</v>
      </c>
      <c r="J437" s="31">
        <f>F437</f>
        <v>4.54</v>
      </c>
      <c r="K437" s="31">
        <f>J437</f>
        <v>4.54</v>
      </c>
      <c r="L437" s="31">
        <f>J437</f>
        <v>4.54</v>
      </c>
    </row>
    <row r="438" spans="1:13" ht="18" customHeight="1" x14ac:dyDescent="0.2">
      <c r="A438" s="24" t="s">
        <v>73</v>
      </c>
      <c r="B438" s="24" t="s">
        <v>108</v>
      </c>
      <c r="C438" s="24" t="s">
        <v>687</v>
      </c>
      <c r="D438" s="24" t="s">
        <v>688</v>
      </c>
      <c r="E438" s="24"/>
      <c r="F438" s="218">
        <v>2.81E-3</v>
      </c>
      <c r="G438" s="24"/>
      <c r="H438" s="33" t="s">
        <v>693</v>
      </c>
      <c r="I438" s="26" t="s">
        <v>775</v>
      </c>
      <c r="J438" s="44">
        <f t="shared" ref="J438:J439" si="56">F438</f>
        <v>2.81E-3</v>
      </c>
      <c r="K438" s="44">
        <f>J438</f>
        <v>2.81E-3</v>
      </c>
      <c r="L438" s="44">
        <f>J438</f>
        <v>2.81E-3</v>
      </c>
    </row>
    <row r="439" spans="1:13" ht="18" customHeight="1" x14ac:dyDescent="0.2">
      <c r="A439" s="24" t="s">
        <v>73</v>
      </c>
      <c r="B439" s="24" t="s">
        <v>108</v>
      </c>
      <c r="C439" s="24" t="s">
        <v>689</v>
      </c>
      <c r="D439" s="24" t="s">
        <v>690</v>
      </c>
      <c r="E439" s="24"/>
      <c r="F439" s="218">
        <v>8.9300000000000002E-5</v>
      </c>
      <c r="G439" s="24"/>
      <c r="H439" s="33" t="s">
        <v>693</v>
      </c>
      <c r="I439" s="26" t="s">
        <v>775</v>
      </c>
      <c r="J439" s="44">
        <f t="shared" si="56"/>
        <v>8.9300000000000002E-5</v>
      </c>
      <c r="K439" s="44">
        <f>J439</f>
        <v>8.9300000000000002E-5</v>
      </c>
      <c r="L439" s="44">
        <f>J439</f>
        <v>8.9300000000000002E-5</v>
      </c>
    </row>
    <row r="440" spans="1:13" ht="18" customHeight="1" x14ac:dyDescent="0.2">
      <c r="A440" s="24" t="s">
        <v>73</v>
      </c>
      <c r="B440" s="24" t="s">
        <v>108</v>
      </c>
      <c r="C440" s="24" t="s">
        <v>687</v>
      </c>
      <c r="D440" s="24" t="s">
        <v>423</v>
      </c>
      <c r="E440" s="24"/>
      <c r="F440" s="43"/>
      <c r="G440" s="24"/>
      <c r="H440" s="24" t="s">
        <v>20</v>
      </c>
      <c r="I440" s="26" t="s">
        <v>526</v>
      </c>
      <c r="J440" s="44">
        <f>J438 * '5. Unit Conversions'!D15</f>
        <v>9.554E-2</v>
      </c>
      <c r="K440" s="44">
        <f>K438 * '5. Unit Conversions'!D15</f>
        <v>9.554E-2</v>
      </c>
      <c r="L440" s="44">
        <f>L438 * '5. Unit Conversions'!D15</f>
        <v>9.554E-2</v>
      </c>
    </row>
    <row r="441" spans="1:13" ht="18" customHeight="1" x14ac:dyDescent="0.2">
      <c r="A441" s="24" t="s">
        <v>73</v>
      </c>
      <c r="B441" s="24" t="s">
        <v>108</v>
      </c>
      <c r="C441" s="24" t="s">
        <v>689</v>
      </c>
      <c r="D441" s="24" t="s">
        <v>423</v>
      </c>
      <c r="E441" s="24"/>
      <c r="F441" s="43"/>
      <c r="G441" s="24"/>
      <c r="H441" s="24" t="s">
        <v>20</v>
      </c>
      <c r="I441" s="26" t="s">
        <v>527</v>
      </c>
      <c r="J441" s="44">
        <f>J439 * '5. Unit Conversions'!D16</f>
        <v>2.66114E-2</v>
      </c>
      <c r="K441" s="44">
        <f>K439 * '5. Unit Conversions'!D16</f>
        <v>2.66114E-2</v>
      </c>
      <c r="L441" s="44">
        <f>L439 * '5. Unit Conversions'!D16</f>
        <v>2.66114E-2</v>
      </c>
    </row>
    <row r="442" spans="1:13" ht="18" customHeight="1" x14ac:dyDescent="0.2">
      <c r="A442" s="24" t="s">
        <v>73</v>
      </c>
      <c r="B442" s="24" t="s">
        <v>108</v>
      </c>
      <c r="C442" s="24" t="s">
        <v>109</v>
      </c>
      <c r="D442" s="24" t="s">
        <v>423</v>
      </c>
      <c r="E442" s="24"/>
      <c r="F442" s="41"/>
      <c r="G442" s="24"/>
      <c r="H442" s="24" t="s">
        <v>20</v>
      </c>
      <c r="I442" s="26" t="s">
        <v>685</v>
      </c>
      <c r="J442" s="28">
        <f>J437 + J440 + J441</f>
        <v>4.6621513999999999</v>
      </c>
      <c r="K442" s="28">
        <f>K437 + K440 + K441</f>
        <v>4.6621513999999999</v>
      </c>
      <c r="L442" s="28">
        <f>L437 + L440 + L441</f>
        <v>4.6621513999999999</v>
      </c>
    </row>
    <row r="443" spans="1:13" ht="18" customHeight="1" x14ac:dyDescent="0.2">
      <c r="A443" s="83" t="s">
        <v>142</v>
      </c>
      <c r="B443" s="84"/>
      <c r="C443" s="84"/>
      <c r="D443" s="84"/>
      <c r="E443" s="84"/>
      <c r="F443" s="84"/>
      <c r="G443" s="84"/>
      <c r="H443" s="84"/>
      <c r="I443" s="84"/>
      <c r="J443" s="85"/>
      <c r="K443" s="85"/>
      <c r="L443" s="85"/>
    </row>
    <row r="444" spans="1:13" ht="18" customHeight="1" x14ac:dyDescent="0.2">
      <c r="A444" s="24" t="s">
        <v>110</v>
      </c>
      <c r="B444" s="24" t="s">
        <v>111</v>
      </c>
      <c r="C444" s="24" t="s">
        <v>178</v>
      </c>
      <c r="D444" s="24" t="s">
        <v>691</v>
      </c>
      <c r="E444" s="212">
        <v>400</v>
      </c>
      <c r="F444" s="211">
        <f>(E444 + G444) / 2</f>
        <v>415</v>
      </c>
      <c r="G444" s="212">
        <v>430</v>
      </c>
      <c r="H444" s="24"/>
      <c r="I444" s="26" t="s">
        <v>750</v>
      </c>
      <c r="J444" s="28">
        <f>F444</f>
        <v>415</v>
      </c>
      <c r="K444" s="28">
        <f>E444</f>
        <v>400</v>
      </c>
      <c r="L444" s="28">
        <f>G444</f>
        <v>430</v>
      </c>
    </row>
    <row r="445" spans="1:13" s="21" customFormat="1" ht="18" customHeight="1" x14ac:dyDescent="0.2">
      <c r="A445" s="86" t="s">
        <v>164</v>
      </c>
      <c r="B445" s="87"/>
      <c r="C445" s="88"/>
      <c r="D445" s="68" t="s">
        <v>458</v>
      </c>
      <c r="E445" s="86"/>
      <c r="F445" s="87"/>
      <c r="G445" s="87"/>
      <c r="H445" s="87"/>
      <c r="I445" s="88"/>
      <c r="J445" s="89">
        <f>J377 + J435 + J442 + J444</f>
        <v>470.15034284118747</v>
      </c>
      <c r="K445" s="89">
        <f>K377 + K435 + K442 + K444</f>
        <v>454.68491627216662</v>
      </c>
      <c r="L445" s="89">
        <f>L377 + L435 + L442 + L444</f>
        <v>485.61576941020826</v>
      </c>
      <c r="M445" s="230"/>
    </row>
  </sheetData>
  <mergeCells count="5">
    <mergeCell ref="D13:H15"/>
    <mergeCell ref="I13:I15"/>
    <mergeCell ref="C13:C15"/>
    <mergeCell ref="A13:A15"/>
    <mergeCell ref="B13:B15"/>
  </mergeCells>
  <pageMargins left="0.7" right="0.7" top="0.75" bottom="0.75" header="0.3" footer="0.3"/>
  <ignoredErrors>
    <ignoredError sqref="J19 J50 J52 J98 J132 J141 J165 J167 J89 J85:J87 J17 J40 J37 J195 J197 J261 J192 J221:J222 J228 J367 J313 J315 J317 J319 J247 K17:L17 K19:L19 K40:L40 K37:L37 K50:L50 K88:L93 K86:L86 K85:L85 K87:L87 K132:L132 K167:L168 K192:L217 K221:L226 K228:L228 K261:L261 K313:L313 K315:L315" formula="1"/>
    <ignoredError sqref="E36:G36 E38:G38 E51:G51 E54:G54 E58:G58 F194 F221 F223 F369" unlockedFormula="1"/>
  </ignoredErrors>
  <drawing r:id="rId1"/>
  <legacyDrawing r:id="rId2"/>
  <mc:AlternateContent xmlns:mc="http://schemas.openxmlformats.org/markup-compatibility/2006">
    <mc:Choice Requires="x14">
      <controls>
        <mc:AlternateContent xmlns:mc="http://schemas.openxmlformats.org/markup-compatibility/2006">
          <mc:Choice Requires="x14">
            <control shapeId="2049" r:id="rId3" name="List Box 1">
              <controlPr locked="0" defaultSize="0" autoLine="0" autoPict="0">
                <anchor moveWithCells="1">
                  <from>
                    <xdr:col>3</xdr:col>
                    <xdr:colOff>28575</xdr:colOff>
                    <xdr:row>12</xdr:row>
                    <xdr:rowOff>28575</xdr:rowOff>
                  </from>
                  <to>
                    <xdr:col>7</xdr:col>
                    <xdr:colOff>628650</xdr:colOff>
                    <xdr:row>14</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FF"/>
    <pageSetUpPr fitToPage="1"/>
  </sheetPr>
  <dimension ref="B1:E85"/>
  <sheetViews>
    <sheetView zoomScaleNormal="100" zoomScaleSheetLayoutView="100" workbookViewId="0">
      <pane ySplit="5" topLeftCell="A6" activePane="bottomLeft" state="frozen"/>
      <selection pane="bottomLeft"/>
    </sheetView>
  </sheetViews>
  <sheetFormatPr defaultColWidth="9.140625" defaultRowHeight="15" customHeight="1" x14ac:dyDescent="0.2"/>
  <cols>
    <col min="1" max="1" width="2.7109375" style="124" customWidth="1"/>
    <col min="2" max="2" width="56.7109375" style="124" bestFit="1" customWidth="1"/>
    <col min="3" max="3" width="20.7109375" style="124" customWidth="1"/>
    <col min="4" max="5" width="20.7109375" style="125" customWidth="1"/>
    <col min="6" max="16384" width="9.140625" style="124"/>
  </cols>
  <sheetData>
    <row r="1" spans="2:5" ht="15" customHeight="1" thickBot="1" x14ac:dyDescent="0.25"/>
    <row r="2" spans="2:5" ht="15" customHeight="1" thickBot="1" x14ac:dyDescent="0.4">
      <c r="B2" s="306" t="s">
        <v>373</v>
      </c>
      <c r="C2" s="307"/>
      <c r="D2" s="307"/>
      <c r="E2" s="308"/>
    </row>
    <row r="3" spans="2:5" ht="15" customHeight="1" thickBot="1" x14ac:dyDescent="0.25"/>
    <row r="4" spans="2:5" ht="15" customHeight="1" x14ac:dyDescent="0.2">
      <c r="C4" s="139" t="s">
        <v>132</v>
      </c>
      <c r="D4" s="140" t="s">
        <v>133</v>
      </c>
      <c r="E4" s="141" t="s">
        <v>134</v>
      </c>
    </row>
    <row r="5" spans="2:5" ht="15" customHeight="1" thickBot="1" x14ac:dyDescent="0.3">
      <c r="C5" s="309" t="s">
        <v>709</v>
      </c>
      <c r="D5" s="310"/>
      <c r="E5" s="311"/>
    </row>
    <row r="6" spans="2:5" ht="15" customHeight="1" x14ac:dyDescent="0.2">
      <c r="B6" s="303" t="s">
        <v>715</v>
      </c>
      <c r="C6" s="304"/>
      <c r="D6" s="304"/>
      <c r="E6" s="305"/>
    </row>
    <row r="7" spans="2:5" ht="15" customHeight="1" x14ac:dyDescent="0.2">
      <c r="B7" s="127" t="s">
        <v>40</v>
      </c>
      <c r="C7" s="7">
        <f>'1. Base Model'!K9</f>
        <v>25.191254401204013</v>
      </c>
      <c r="D7" s="7">
        <f>'1. Base Model'!J9</f>
        <v>30.91303194994601</v>
      </c>
      <c r="E7" s="101">
        <f>'1. Base Model'!L9</f>
        <v>26.720723418419961</v>
      </c>
    </row>
    <row r="8" spans="2:5" ht="15" customHeight="1" x14ac:dyDescent="0.2">
      <c r="B8" s="127" t="s">
        <v>39</v>
      </c>
      <c r="C8" s="7">
        <f>'1. Base Model'!K25</f>
        <v>61.218243036424887</v>
      </c>
      <c r="D8" s="7">
        <f>'1. Base Model'!J25</f>
        <v>81.383202631702034</v>
      </c>
      <c r="E8" s="101">
        <f>'1. Base Model'!L25</f>
        <v>64.935064935064915</v>
      </c>
    </row>
    <row r="9" spans="2:5" ht="15" customHeight="1" x14ac:dyDescent="0.2">
      <c r="B9" s="128" t="s">
        <v>343</v>
      </c>
      <c r="C9" s="7">
        <f>'1. Base Model'!K33</f>
        <v>2.3636363636363642</v>
      </c>
      <c r="D9" s="7">
        <f>'1. Base Model'!J33</f>
        <v>1.9784256559766764</v>
      </c>
      <c r="E9" s="101">
        <f>'1. Base Model'!L33</f>
        <v>1.1142857142857143</v>
      </c>
    </row>
    <row r="10" spans="2:5" ht="15" customHeight="1" x14ac:dyDescent="0.2">
      <c r="B10" s="129" t="s">
        <v>344</v>
      </c>
      <c r="C10" s="8">
        <f>'1. Base Model'!K43</f>
        <v>6.6305040303876572E-2</v>
      </c>
      <c r="D10" s="8">
        <f>'1. Base Model'!J43</f>
        <v>3.0932742715678079</v>
      </c>
      <c r="E10" s="130">
        <f>'1. Base Model'!L43</f>
        <v>23.341707904739227</v>
      </c>
    </row>
    <row r="11" spans="2:5" ht="15" customHeight="1" thickBot="1" x14ac:dyDescent="0.25">
      <c r="B11" s="131" t="s">
        <v>345</v>
      </c>
      <c r="C11" s="132">
        <f>SUM(C7:C10)</f>
        <v>88.839438841569134</v>
      </c>
      <c r="D11" s="132">
        <f>SUM(D7:D10)</f>
        <v>117.36793450919252</v>
      </c>
      <c r="E11" s="133">
        <f>SUM(E7:E10)</f>
        <v>116.11178197250982</v>
      </c>
    </row>
    <row r="12" spans="2:5" ht="15" customHeight="1" thickBot="1" x14ac:dyDescent="0.25">
      <c r="D12" s="126"/>
      <c r="E12" s="126"/>
    </row>
    <row r="13" spans="2:5" ht="15" customHeight="1" x14ac:dyDescent="0.2">
      <c r="B13" s="303" t="s">
        <v>716</v>
      </c>
      <c r="C13" s="304"/>
      <c r="D13" s="304"/>
      <c r="E13" s="305"/>
    </row>
    <row r="14" spans="2:5" ht="15" customHeight="1" x14ac:dyDescent="0.2">
      <c r="B14" s="127" t="s">
        <v>168</v>
      </c>
      <c r="C14" s="7">
        <f>'1. Base Model'!K93</f>
        <v>7.0000049421067487</v>
      </c>
      <c r="D14" s="7">
        <f>'1. Base Model'!J93</f>
        <v>7.0000049421067487</v>
      </c>
      <c r="E14" s="101">
        <f>'1. Base Model'!L93</f>
        <v>7.0000049421067487</v>
      </c>
    </row>
    <row r="15" spans="2:5" ht="15" customHeight="1" x14ac:dyDescent="0.2">
      <c r="B15" s="127" t="s">
        <v>172</v>
      </c>
      <c r="C15" s="7">
        <f>'1. Base Model'!K99</f>
        <v>4.7</v>
      </c>
      <c r="D15" s="7">
        <f>'1. Base Model'!J99</f>
        <v>4.7</v>
      </c>
      <c r="E15" s="101">
        <f>'1. Base Model'!L99</f>
        <v>4.7</v>
      </c>
    </row>
    <row r="16" spans="2:5" ht="15" customHeight="1" x14ac:dyDescent="0.2">
      <c r="B16" s="127" t="s">
        <v>837</v>
      </c>
      <c r="C16" s="7">
        <f>'1. Base Model'!K105</f>
        <v>10.522783886501463</v>
      </c>
      <c r="D16" s="7">
        <f>'1. Base Model'!J105</f>
        <v>10.522783886501463</v>
      </c>
      <c r="E16" s="101">
        <f>'1. Base Model'!L105</f>
        <v>10.522783886501463</v>
      </c>
    </row>
    <row r="17" spans="2:5" ht="15" customHeight="1" x14ac:dyDescent="0.25">
      <c r="B17" s="127" t="s">
        <v>839</v>
      </c>
      <c r="C17" s="7">
        <f>'1. Base Model'!K118 + '1. Base Model'!K111</f>
        <v>21.896919601178979</v>
      </c>
      <c r="D17" s="7">
        <f>'1. Base Model'!J118 + '1. Base Model'!J111</f>
        <v>41.864545847230332</v>
      </c>
      <c r="E17" s="101">
        <f>'1. Base Model'!L118 + '1. Base Model'!L111</f>
        <v>64.387064587025321</v>
      </c>
    </row>
    <row r="18" spans="2:5" ht="15" customHeight="1" x14ac:dyDescent="0.25">
      <c r="B18" s="127" t="s">
        <v>838</v>
      </c>
      <c r="C18" s="7">
        <f>'1. Base Model'!K122</f>
        <v>4.256330132104795E-2</v>
      </c>
      <c r="D18" s="7">
        <f>'1. Base Model'!J122</f>
        <v>7.8502706639288183E-2</v>
      </c>
      <c r="E18" s="101">
        <f>'1. Base Model'!L122</f>
        <v>0.12337424347660857</v>
      </c>
    </row>
    <row r="19" spans="2:5" ht="15" customHeight="1" x14ac:dyDescent="0.2">
      <c r="B19" s="127" t="s">
        <v>840</v>
      </c>
      <c r="C19" s="7">
        <f>'1. Base Model'!K128</f>
        <v>2.0049663023090876</v>
      </c>
      <c r="D19" s="7">
        <f>'1. Base Model'!J128</f>
        <v>1.663133270616741</v>
      </c>
      <c r="E19" s="101">
        <f>'1. Base Model'!L128</f>
        <v>0.92087080501316043</v>
      </c>
    </row>
    <row r="20" spans="2:5" ht="15" customHeight="1" x14ac:dyDescent="0.2">
      <c r="B20" s="127" t="s">
        <v>346</v>
      </c>
      <c r="C20" s="7">
        <f>'1. Base Model'!K136</f>
        <v>1.6722657511055457</v>
      </c>
      <c r="D20" s="7">
        <f>'1. Base Model'!J136</f>
        <v>3.3445315022110913</v>
      </c>
      <c r="E20" s="101">
        <f>'1. Base Model'!L136</f>
        <v>6.6890630044221826</v>
      </c>
    </row>
    <row r="21" spans="2:5" ht="15" customHeight="1" x14ac:dyDescent="0.2">
      <c r="B21" s="127" t="s">
        <v>347</v>
      </c>
      <c r="C21" s="7">
        <f>'1. Base Model'!K151</f>
        <v>0.26252873429520002</v>
      </c>
      <c r="D21" s="7">
        <f>'1. Base Model'!J151</f>
        <v>0.32816091786899998</v>
      </c>
      <c r="E21" s="101">
        <f>'1. Base Model'!L151</f>
        <v>0.39379310144280005</v>
      </c>
    </row>
    <row r="22" spans="2:5" ht="15" customHeight="1" x14ac:dyDescent="0.2">
      <c r="B22" s="127" t="s">
        <v>348</v>
      </c>
      <c r="C22" s="7">
        <f>'1. Base Model'!K162</f>
        <v>0.92422801866961335</v>
      </c>
      <c r="D22" s="7">
        <f>'1. Base Model'!J162</f>
        <v>1.1552850233370167</v>
      </c>
      <c r="E22" s="101">
        <f>'1. Base Model'!L162</f>
        <v>1.3863420280044199</v>
      </c>
    </row>
    <row r="23" spans="2:5" ht="15" customHeight="1" x14ac:dyDescent="0.2">
      <c r="B23" s="127" t="s">
        <v>349</v>
      </c>
      <c r="C23" s="7">
        <f>'1. Base Model'!K171</f>
        <v>0.45713837142509212</v>
      </c>
      <c r="D23" s="7">
        <f>'1. Base Model'!J171</f>
        <v>0.47746498553579408</v>
      </c>
      <c r="E23" s="101">
        <f>'1. Base Model'!L171</f>
        <v>0.48638674986732422</v>
      </c>
    </row>
    <row r="24" spans="2:5" ht="15" customHeight="1" x14ac:dyDescent="0.2">
      <c r="B24" s="127" t="s">
        <v>350</v>
      </c>
      <c r="C24" s="7">
        <f>'1. Base Model'!K182</f>
        <v>0.10031068904806914</v>
      </c>
      <c r="D24" s="7">
        <f>'1. Base Model'!J182</f>
        <v>8.1757108289547895E-2</v>
      </c>
      <c r="E24" s="101">
        <f>'1. Base Model'!L182</f>
        <v>4.2734286054209834E-2</v>
      </c>
    </row>
    <row r="25" spans="2:5" ht="15" customHeight="1" x14ac:dyDescent="0.2">
      <c r="B25" s="135" t="s">
        <v>351</v>
      </c>
      <c r="C25" s="8">
        <f>'1. Base Model'!K188</f>
        <v>0.68578740652228198</v>
      </c>
      <c r="D25" s="8">
        <f>'1. Base Model'!J188</f>
        <v>0.55894337673009575</v>
      </c>
      <c r="E25" s="130">
        <f>'1. Base Model'!L188</f>
        <v>0.29215864710742911</v>
      </c>
    </row>
    <row r="26" spans="2:5" ht="15" customHeight="1" x14ac:dyDescent="0.2">
      <c r="B26" s="136" t="s">
        <v>345</v>
      </c>
      <c r="C26" s="7">
        <f>SUM(C14:C25)</f>
        <v>50.269497004483135</v>
      </c>
      <c r="D26" s="7">
        <f>SUM(D14:D25)</f>
        <v>71.775113567067123</v>
      </c>
      <c r="E26" s="101">
        <f>SUM(E14:E25)</f>
        <v>96.944576281021654</v>
      </c>
    </row>
    <row r="27" spans="2:5" ht="15" customHeight="1" x14ac:dyDescent="0.2">
      <c r="B27" s="137"/>
      <c r="D27" s="134"/>
      <c r="E27" s="138"/>
    </row>
    <row r="28" spans="2:5" ht="15" customHeight="1" x14ac:dyDescent="0.2">
      <c r="B28" s="127" t="s">
        <v>356</v>
      </c>
      <c r="C28" s="7">
        <f>'1. Base Model'!K259</f>
        <v>2.6741462090440007</v>
      </c>
      <c r="D28" s="7">
        <f>'1. Base Model'!J259</f>
        <v>4.5080803869388673</v>
      </c>
      <c r="E28" s="101">
        <f>'1. Base Model'!L259</f>
        <v>6.7320696471940877</v>
      </c>
    </row>
    <row r="29" spans="2:5" ht="15" customHeight="1" x14ac:dyDescent="0.2">
      <c r="B29" s="127" t="s">
        <v>357</v>
      </c>
      <c r="C29" s="7">
        <f>'1. Base Model'!K271</f>
        <v>4.4144524512230028E-4</v>
      </c>
      <c r="D29" s="7">
        <f>'1. Base Model'!J271</f>
        <v>7.441891713747046E-4</v>
      </c>
      <c r="E29" s="101">
        <f>'1. Base Model'!L271</f>
        <v>1.1113229805966426E-3</v>
      </c>
    </row>
    <row r="30" spans="2:5" ht="15" customHeight="1" x14ac:dyDescent="0.2">
      <c r="B30" s="135" t="s">
        <v>358</v>
      </c>
      <c r="C30" s="8">
        <f>'1. Base Model'!K281</f>
        <v>1.5541006029143264E-3</v>
      </c>
      <c r="D30" s="8">
        <f>'1. Base Model'!J281</f>
        <v>2.6199055323278572E-3</v>
      </c>
      <c r="E30" s="130">
        <f>'1. Base Model'!L281</f>
        <v>3.9123939679071686E-3</v>
      </c>
    </row>
    <row r="31" spans="2:5" ht="15" customHeight="1" x14ac:dyDescent="0.2">
      <c r="B31" s="136" t="s">
        <v>345</v>
      </c>
      <c r="C31" s="7">
        <f>SUM(C28:C30)</f>
        <v>2.6761417548920376</v>
      </c>
      <c r="D31" s="7">
        <f>SUM(D28:D30)</f>
        <v>4.5114444816425694</v>
      </c>
      <c r="E31" s="101">
        <f>SUM(E28:E30)</f>
        <v>6.7370933641425914</v>
      </c>
    </row>
    <row r="32" spans="2:5" ht="15" customHeight="1" x14ac:dyDescent="0.2">
      <c r="B32" s="137"/>
      <c r="D32" s="134"/>
      <c r="E32" s="138"/>
    </row>
    <row r="33" spans="2:5" ht="15" customHeight="1" x14ac:dyDescent="0.2">
      <c r="B33" s="127" t="s">
        <v>352</v>
      </c>
      <c r="C33" s="7">
        <f>'1. Base Model'!K207</f>
        <v>3.9282640981594043E-2</v>
      </c>
      <c r="D33" s="7">
        <f>'1. Base Model'!J207</f>
        <v>7.2451937356409701E-2</v>
      </c>
      <c r="E33" s="101">
        <f>'1. Base Model'!L207</f>
        <v>0.11386490151013642</v>
      </c>
    </row>
    <row r="34" spans="2:5" ht="15" customHeight="1" x14ac:dyDescent="0.2">
      <c r="B34" s="127" t="s">
        <v>353</v>
      </c>
      <c r="C34" s="7">
        <f>'1. Base Model'!K217</f>
        <v>0.16212573640804406</v>
      </c>
      <c r="D34" s="7">
        <f>'1. Base Model'!J217</f>
        <v>0.29902072275642477</v>
      </c>
      <c r="E34" s="101">
        <f>'1. Base Model'!L217</f>
        <v>0.46993864330582946</v>
      </c>
    </row>
    <row r="35" spans="2:5" ht="15" customHeight="1" x14ac:dyDescent="0.2">
      <c r="B35" s="127" t="s">
        <v>354</v>
      </c>
      <c r="C35" s="7">
        <f>'1. Base Model'!K238</f>
        <v>1.4178622662935074</v>
      </c>
      <c r="D35" s="7">
        <f>'1. Base Model'!J238</f>
        <v>2.6150703091894254</v>
      </c>
      <c r="E35" s="101">
        <f>'1. Base Model'!L238</f>
        <v>4.1098241684436232</v>
      </c>
    </row>
    <row r="36" spans="2:5" ht="15" customHeight="1" x14ac:dyDescent="0.2">
      <c r="B36" s="135" t="s">
        <v>355</v>
      </c>
      <c r="C36" s="8">
        <f>'1. Base Model'!K226</f>
        <v>12.554340133676973</v>
      </c>
      <c r="D36" s="8">
        <f>'1. Base Model'!J226</f>
        <v>23.154916324042798</v>
      </c>
      <c r="E36" s="130">
        <f>'1. Base Model'!L226</f>
        <v>36.390086489237724</v>
      </c>
    </row>
    <row r="37" spans="2:5" ht="15" customHeight="1" x14ac:dyDescent="0.2">
      <c r="B37" s="136" t="s">
        <v>345</v>
      </c>
      <c r="C37" s="7">
        <f>SUM(C33:C36)</f>
        <v>14.173610777360119</v>
      </c>
      <c r="D37" s="7">
        <f>SUM(D33:D36)</f>
        <v>26.141459293345058</v>
      </c>
      <c r="E37" s="101">
        <f>SUM(E33:E36)</f>
        <v>41.083714202497312</v>
      </c>
    </row>
    <row r="38" spans="2:5" ht="15" customHeight="1" x14ac:dyDescent="0.2">
      <c r="B38" s="137"/>
      <c r="D38" s="134"/>
      <c r="E38" s="138"/>
    </row>
    <row r="39" spans="2:5" ht="15" customHeight="1" x14ac:dyDescent="0.2">
      <c r="B39" s="127" t="s">
        <v>359</v>
      </c>
      <c r="C39" s="7">
        <f>'1. Base Model'!K299</f>
        <v>3.8605948293934191</v>
      </c>
      <c r="D39" s="7">
        <f>'1. Base Model'!J299</f>
        <v>6.5081975598214985</v>
      </c>
      <c r="E39" s="101">
        <f>'1. Base Model'!L299</f>
        <v>9.7189125946726556</v>
      </c>
    </row>
    <row r="40" spans="2:5" ht="15" customHeight="1" x14ac:dyDescent="0.2">
      <c r="B40" s="127" t="s">
        <v>360</v>
      </c>
      <c r="C40" s="7">
        <f>'1. Base Model'!K302</f>
        <v>9.6785518577116886E-3</v>
      </c>
      <c r="D40" s="7">
        <f>'1. Base Model'!J302</f>
        <v>1.6316119760452066E-2</v>
      </c>
      <c r="E40" s="101">
        <f>'1. Base Model'!L302</f>
        <v>2.4365416135338439E-2</v>
      </c>
    </row>
    <row r="41" spans="2:5" ht="15" customHeight="1" x14ac:dyDescent="0.2">
      <c r="B41" s="127" t="s">
        <v>361</v>
      </c>
      <c r="C41" s="7">
        <f>'1. Base Model'!K307</f>
        <v>3.1512284421977031E-2</v>
      </c>
      <c r="D41" s="7">
        <f>'1. Base Model'!J307</f>
        <v>5.8120482733536379E-2</v>
      </c>
      <c r="E41" s="101">
        <f>'1. Base Model'!L307</f>
        <v>9.1341698837128921E-2</v>
      </c>
    </row>
    <row r="42" spans="2:5" ht="15" customHeight="1" x14ac:dyDescent="0.2">
      <c r="B42" s="127" t="s">
        <v>362</v>
      </c>
      <c r="C42" s="7">
        <f>'1. Base Model'!K311</f>
        <v>0.32377036873596415</v>
      </c>
      <c r="D42" s="7">
        <f>'1. Base Model'!J311</f>
        <v>0.54581265760048392</v>
      </c>
      <c r="E42" s="101">
        <f>'1. Base Model'!L311</f>
        <v>0.81508059082806805</v>
      </c>
    </row>
    <row r="43" spans="2:5" ht="15" customHeight="1" x14ac:dyDescent="0.2">
      <c r="B43" s="127" t="s">
        <v>363</v>
      </c>
      <c r="C43" s="7">
        <f>'1. Base Model'!K329</f>
        <v>4.7079941253208473</v>
      </c>
      <c r="D43" s="7">
        <f>'1. Base Model'!J329</f>
        <v>8.3244995676990907</v>
      </c>
      <c r="E43" s="101">
        <f>'1. Base Model'!L329</f>
        <v>13.01030550449612</v>
      </c>
    </row>
    <row r="44" spans="2:5" ht="15" customHeight="1" x14ac:dyDescent="0.2">
      <c r="B44" s="135" t="s">
        <v>364</v>
      </c>
      <c r="C44" s="8">
        <f>'1. Base Model'!K339</f>
        <v>16.574414583741138</v>
      </c>
      <c r="D44" s="8">
        <f>'1. Base Model'!J339</f>
        <v>29.306261512765968</v>
      </c>
      <c r="E44" s="130">
        <f>'1. Base Model'!L339</f>
        <v>45.802562949874641</v>
      </c>
    </row>
    <row r="45" spans="2:5" ht="15" customHeight="1" thickBot="1" x14ac:dyDescent="0.25">
      <c r="B45" s="131" t="s">
        <v>345</v>
      </c>
      <c r="C45" s="132">
        <f>SUM(C39:C44)</f>
        <v>25.507964743471057</v>
      </c>
      <c r="D45" s="132">
        <f>SUM(D39:D44)</f>
        <v>44.759207900381028</v>
      </c>
      <c r="E45" s="133">
        <f>SUM(E39:E44)</f>
        <v>69.462568754843943</v>
      </c>
    </row>
    <row r="46" spans="2:5" ht="15" customHeight="1" thickBot="1" x14ac:dyDescent="0.25">
      <c r="D46" s="126"/>
      <c r="E46" s="126"/>
    </row>
    <row r="47" spans="2:5" ht="15" customHeight="1" x14ac:dyDescent="0.2">
      <c r="B47" s="303" t="s">
        <v>717</v>
      </c>
      <c r="C47" s="304"/>
      <c r="D47" s="304"/>
      <c r="E47" s="305"/>
    </row>
    <row r="48" spans="2:5" ht="15" customHeight="1" x14ac:dyDescent="0.2">
      <c r="B48" s="127" t="s">
        <v>106</v>
      </c>
      <c r="C48" s="7">
        <f>'1. Base Model'!K377</f>
        <v>3.7234125521666104</v>
      </c>
      <c r="D48" s="7">
        <f>'1. Base Model'!J377</f>
        <v>4.1888391211874367</v>
      </c>
      <c r="E48" s="101">
        <f>'1. Base Model'!L377</f>
        <v>4.6542656902082626</v>
      </c>
    </row>
    <row r="49" spans="2:5" ht="15" customHeight="1" x14ac:dyDescent="0.2">
      <c r="B49" s="127" t="s">
        <v>107</v>
      </c>
      <c r="C49" s="7">
        <f>'1. Base Model'!K435</f>
        <v>46.299352320000004</v>
      </c>
      <c r="D49" s="7">
        <f>'1. Base Model'!J435</f>
        <v>46.299352320000004</v>
      </c>
      <c r="E49" s="101">
        <f>'1. Base Model'!L435</f>
        <v>46.299352320000004</v>
      </c>
    </row>
    <row r="50" spans="2:5" ht="15" customHeight="1" x14ac:dyDescent="0.2">
      <c r="B50" s="127" t="s">
        <v>108</v>
      </c>
      <c r="C50" s="7">
        <f>'1. Base Model'!K442</f>
        <v>4.6621513999999999</v>
      </c>
      <c r="D50" s="7">
        <f>'1. Base Model'!J442</f>
        <v>4.6621513999999999</v>
      </c>
      <c r="E50" s="101">
        <f>'1. Base Model'!L442</f>
        <v>4.6621513999999999</v>
      </c>
    </row>
    <row r="51" spans="2:5" ht="15" customHeight="1" x14ac:dyDescent="0.2">
      <c r="B51" s="135" t="s">
        <v>111</v>
      </c>
      <c r="C51" s="8">
        <f>'1. Base Model'!K444</f>
        <v>400</v>
      </c>
      <c r="D51" s="8">
        <f>'1. Base Model'!J444</f>
        <v>415</v>
      </c>
      <c r="E51" s="130">
        <f>'1. Base Model'!L444</f>
        <v>430</v>
      </c>
    </row>
    <row r="52" spans="2:5" ht="15" customHeight="1" thickBot="1" x14ac:dyDescent="0.25">
      <c r="B52" s="131" t="s">
        <v>345</v>
      </c>
      <c r="C52" s="132">
        <f>SUM(C48:C51)</f>
        <v>454.68491627216662</v>
      </c>
      <c r="D52" s="132">
        <f>SUM(D48:D51)</f>
        <v>470.15034284118747</v>
      </c>
      <c r="E52" s="133">
        <f>SUM(E48:E51)</f>
        <v>485.61576941020826</v>
      </c>
    </row>
    <row r="53" spans="2:5" ht="15" customHeight="1" thickBot="1" x14ac:dyDescent="0.25">
      <c r="B53" s="142"/>
      <c r="C53" s="142"/>
      <c r="D53" s="126"/>
      <c r="E53" s="126"/>
    </row>
    <row r="54" spans="2:5" ht="15" customHeight="1" x14ac:dyDescent="0.2">
      <c r="B54" s="303" t="s">
        <v>718</v>
      </c>
      <c r="C54" s="304"/>
      <c r="D54" s="304"/>
      <c r="E54" s="305"/>
    </row>
    <row r="55" spans="2:5" ht="15" customHeight="1" x14ac:dyDescent="0.2">
      <c r="B55" s="127" t="s">
        <v>369</v>
      </c>
      <c r="C55" s="7">
        <f>C11 + C26 + C31 + C52 + C61 + C62</f>
        <v>601.97963574638925</v>
      </c>
      <c r="D55" s="7">
        <f t="shared" ref="D55:E55" si="0">D11 + D26 + D31 + D52 + D61 + D62</f>
        <v>675.28800529042292</v>
      </c>
      <c r="E55" s="101">
        <f t="shared" si="0"/>
        <v>718.29233791099921</v>
      </c>
    </row>
    <row r="56" spans="2:5" ht="15" customHeight="1" x14ac:dyDescent="0.2">
      <c r="B56" s="127" t="s">
        <v>53</v>
      </c>
      <c r="C56" s="7">
        <f>C11 + C26 + C37 + C52 + C61 + C62</f>
        <v>613.47710476885732</v>
      </c>
      <c r="D56" s="7">
        <f t="shared" ref="D56:E56" si="1">D11 + D26 + D37 + D52 + D61 + D62</f>
        <v>696.91802010212541</v>
      </c>
      <c r="E56" s="101">
        <f t="shared" si="1"/>
        <v>752.63895874935395</v>
      </c>
    </row>
    <row r="57" spans="2:5" ht="15" customHeight="1" thickBot="1" x14ac:dyDescent="0.25">
      <c r="B57" s="143" t="s">
        <v>54</v>
      </c>
      <c r="C57" s="132">
        <f>C11 + C26 + C45 + C52 + C61 + C62</f>
        <v>624.81145873496826</v>
      </c>
      <c r="D57" s="132">
        <f t="shared" ref="D57:E57" si="2">D11 + D26 + D45 + D52 + D61 + D62</f>
        <v>715.53576870916129</v>
      </c>
      <c r="E57" s="133">
        <f t="shared" si="2"/>
        <v>781.01781330170058</v>
      </c>
    </row>
    <row r="58" spans="2:5" ht="15" customHeight="1" thickBot="1" x14ac:dyDescent="0.25">
      <c r="D58" s="126"/>
      <c r="E58" s="126"/>
    </row>
    <row r="59" spans="2:5" ht="15" customHeight="1" x14ac:dyDescent="0.2">
      <c r="B59" s="303" t="s">
        <v>719</v>
      </c>
      <c r="C59" s="304"/>
      <c r="D59" s="304"/>
      <c r="E59" s="305"/>
    </row>
    <row r="60" spans="2:5" ht="15" customHeight="1" x14ac:dyDescent="0.25">
      <c r="B60" s="127" t="s">
        <v>365</v>
      </c>
      <c r="C60" s="7">
        <f>'1. Base Model'!K68</f>
        <v>545.4545454545455</v>
      </c>
      <c r="D60" s="7">
        <f>'1. Base Model'!J68</f>
        <v>451.94805194805195</v>
      </c>
      <c r="E60" s="101">
        <f>'1. Base Model'!L68</f>
        <v>249.35064935064946</v>
      </c>
    </row>
    <row r="61" spans="2:5" ht="15" customHeight="1" x14ac:dyDescent="0.25">
      <c r="B61" s="127" t="s">
        <v>366</v>
      </c>
      <c r="C61" s="7">
        <f>'1. Base Model'!K71</f>
        <v>0</v>
      </c>
      <c r="D61" s="7">
        <f>'1. Base Model'!J71</f>
        <v>2.2597402597402598</v>
      </c>
      <c r="E61" s="101">
        <f>'1. Base Model'!L71</f>
        <v>2.4935064935064948</v>
      </c>
    </row>
    <row r="62" spans="2:5" ht="15" customHeight="1" x14ac:dyDescent="0.25">
      <c r="B62" s="135" t="s">
        <v>367</v>
      </c>
      <c r="C62" s="8">
        <f>'1. Base Model'!K61</f>
        <v>5.5096418732782384</v>
      </c>
      <c r="D62" s="8">
        <f>'1. Base Model'!J61</f>
        <v>9.2234296315928983</v>
      </c>
      <c r="E62" s="130">
        <f>'1. Base Model'!L61</f>
        <v>10.389610389610391</v>
      </c>
    </row>
    <row r="63" spans="2:5" ht="15" customHeight="1" thickBot="1" x14ac:dyDescent="0.3">
      <c r="B63" s="144" t="s">
        <v>368</v>
      </c>
      <c r="C63" s="132">
        <f>C60 - C61 - C62</f>
        <v>539.94490358126723</v>
      </c>
      <c r="D63" s="132">
        <f>D60 - D61 - D62</f>
        <v>440.46488205671875</v>
      </c>
      <c r="E63" s="133">
        <f>E60 - E61 - E62</f>
        <v>236.46753246753258</v>
      </c>
    </row>
    <row r="64" spans="2:5" ht="15" customHeight="1" thickBot="1" x14ac:dyDescent="0.25">
      <c r="D64" s="126"/>
      <c r="E64" s="126"/>
    </row>
    <row r="65" spans="2:5" ht="15" customHeight="1" x14ac:dyDescent="0.2">
      <c r="B65" s="303" t="s">
        <v>694</v>
      </c>
      <c r="C65" s="304"/>
      <c r="D65" s="304"/>
      <c r="E65" s="305"/>
    </row>
    <row r="66" spans="2:5" ht="15" customHeight="1" thickBot="1" x14ac:dyDescent="0.25">
      <c r="B66" s="143" t="s">
        <v>370</v>
      </c>
      <c r="C66" s="145">
        <f>'1. Base Model'!K23</f>
        <v>210676.39834606924</v>
      </c>
      <c r="D66" s="145">
        <f>'1. Base Model'!J23</f>
        <v>155595.59414806159</v>
      </c>
      <c r="E66" s="107">
        <f>'1. Base Model'!L23</f>
        <v>90007.72911481616</v>
      </c>
    </row>
    <row r="67" spans="2:5" ht="15" customHeight="1" x14ac:dyDescent="0.2">
      <c r="D67" s="126"/>
      <c r="E67" s="126"/>
    </row>
    <row r="68" spans="2:5" ht="15" customHeight="1" x14ac:dyDescent="0.2">
      <c r="D68" s="126"/>
      <c r="E68" s="126"/>
    </row>
    <row r="69" spans="2:5" ht="15" customHeight="1" x14ac:dyDescent="0.2">
      <c r="D69" s="126"/>
      <c r="E69" s="126"/>
    </row>
    <row r="70" spans="2:5" ht="15" customHeight="1" x14ac:dyDescent="0.2">
      <c r="D70" s="126"/>
      <c r="E70" s="126"/>
    </row>
    <row r="71" spans="2:5" ht="15" customHeight="1" x14ac:dyDescent="0.2">
      <c r="D71" s="126"/>
      <c r="E71" s="126"/>
    </row>
    <row r="72" spans="2:5" ht="15" customHeight="1" x14ac:dyDescent="0.2">
      <c r="D72" s="126"/>
      <c r="E72" s="126"/>
    </row>
    <row r="73" spans="2:5" ht="15" customHeight="1" x14ac:dyDescent="0.2">
      <c r="D73" s="126"/>
      <c r="E73" s="126"/>
    </row>
    <row r="74" spans="2:5" ht="15" customHeight="1" x14ac:dyDescent="0.2">
      <c r="D74" s="126"/>
      <c r="E74" s="126"/>
    </row>
    <row r="75" spans="2:5" ht="15" customHeight="1" x14ac:dyDescent="0.2">
      <c r="D75" s="126"/>
      <c r="E75" s="126"/>
    </row>
    <row r="76" spans="2:5" ht="15" customHeight="1" x14ac:dyDescent="0.2">
      <c r="D76" s="126"/>
      <c r="E76" s="126"/>
    </row>
    <row r="77" spans="2:5" ht="15" customHeight="1" x14ac:dyDescent="0.2">
      <c r="D77" s="126"/>
      <c r="E77" s="126"/>
    </row>
    <row r="78" spans="2:5" ht="15" customHeight="1" x14ac:dyDescent="0.2">
      <c r="D78" s="126"/>
      <c r="E78" s="126"/>
    </row>
    <row r="79" spans="2:5" ht="15" customHeight="1" x14ac:dyDescent="0.2">
      <c r="D79" s="126"/>
      <c r="E79" s="126"/>
    </row>
    <row r="80" spans="2:5" ht="15" customHeight="1" x14ac:dyDescent="0.2">
      <c r="D80" s="126"/>
      <c r="E80" s="126"/>
    </row>
    <row r="81" spans="4:5" ht="15" customHeight="1" x14ac:dyDescent="0.2">
      <c r="D81" s="126"/>
      <c r="E81" s="126"/>
    </row>
    <row r="82" spans="4:5" ht="15" customHeight="1" x14ac:dyDescent="0.2">
      <c r="D82" s="126"/>
      <c r="E82" s="126"/>
    </row>
    <row r="83" spans="4:5" ht="15" customHeight="1" x14ac:dyDescent="0.2">
      <c r="D83" s="126"/>
      <c r="E83" s="126"/>
    </row>
    <row r="84" spans="4:5" ht="15" customHeight="1" x14ac:dyDescent="0.2">
      <c r="D84" s="126"/>
      <c r="E84" s="126"/>
    </row>
    <row r="85" spans="4:5" ht="15" customHeight="1" x14ac:dyDescent="0.2">
      <c r="D85" s="126"/>
      <c r="E85" s="126"/>
    </row>
  </sheetData>
  <mergeCells count="8">
    <mergeCell ref="B65:E65"/>
    <mergeCell ref="B2:E2"/>
    <mergeCell ref="B6:E6"/>
    <mergeCell ref="C5:E5"/>
    <mergeCell ref="B13:E13"/>
    <mergeCell ref="B47:E47"/>
    <mergeCell ref="B54:E54"/>
    <mergeCell ref="B59:E59"/>
  </mergeCells>
  <printOptions horizontalCentered="1"/>
  <pageMargins left="0.7" right="0.7" top="0.75" bottom="0.75" header="0.3" footer="0.3"/>
  <pageSetup scale="68" orientation="portrait" r:id="rId1"/>
  <ignoredErrors>
    <ignoredError sqref="D48:D5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pageSetUpPr fitToPage="1"/>
  </sheetPr>
  <dimension ref="A1:G18"/>
  <sheetViews>
    <sheetView zoomScaleNormal="100" workbookViewId="0"/>
  </sheetViews>
  <sheetFormatPr defaultColWidth="9.140625" defaultRowHeight="15" customHeight="1" x14ac:dyDescent="0.2"/>
  <cols>
    <col min="1" max="1" width="2.7109375" style="146" customWidth="1"/>
    <col min="2" max="2" width="60.7109375" style="146" customWidth="1"/>
    <col min="3" max="6" width="15.7109375" style="147" customWidth="1"/>
    <col min="7" max="7" width="21.5703125" style="147" bestFit="1" customWidth="1"/>
    <col min="8" max="16384" width="9.140625" style="146"/>
  </cols>
  <sheetData>
    <row r="1" spans="1:7" ht="15" customHeight="1" thickBot="1" x14ac:dyDescent="0.25"/>
    <row r="2" spans="1:7" ht="15" customHeight="1" x14ac:dyDescent="0.2">
      <c r="A2" s="148"/>
      <c r="B2" s="149" t="s">
        <v>720</v>
      </c>
      <c r="C2" s="150" t="s">
        <v>132</v>
      </c>
      <c r="D2" s="140" t="s">
        <v>133</v>
      </c>
      <c r="E2" s="151" t="s">
        <v>134</v>
      </c>
      <c r="F2" s="152" t="s">
        <v>131</v>
      </c>
      <c r="G2" s="153" t="s">
        <v>721</v>
      </c>
    </row>
    <row r="3" spans="1:7" ht="15" customHeight="1" x14ac:dyDescent="0.2">
      <c r="B3" s="127" t="s">
        <v>372</v>
      </c>
      <c r="C3" s="95">
        <f>'1. Base Model'!K23</f>
        <v>210676.39834606924</v>
      </c>
      <c r="D3" s="95">
        <f>'1. Base Model'!J23</f>
        <v>155595.59414806159</v>
      </c>
      <c r="E3" s="95">
        <f>'1. Base Model'!L23</f>
        <v>90007.72911481616</v>
      </c>
      <c r="F3" s="6" t="s">
        <v>102</v>
      </c>
      <c r="G3" s="155" t="s">
        <v>739</v>
      </c>
    </row>
    <row r="4" spans="1:7" ht="15" customHeight="1" x14ac:dyDescent="0.2">
      <c r="B4" s="137"/>
      <c r="C4" s="163"/>
      <c r="D4" s="163"/>
      <c r="E4" s="163"/>
      <c r="F4" s="164"/>
      <c r="G4" s="165"/>
    </row>
    <row r="5" spans="1:7" ht="15" customHeight="1" x14ac:dyDescent="0.25">
      <c r="B5" s="127" t="s">
        <v>713</v>
      </c>
      <c r="C5" s="166">
        <f>'1. Base Model'!F31</f>
        <v>660</v>
      </c>
      <c r="D5" s="166">
        <f>'1. Base Model'!F31</f>
        <v>660</v>
      </c>
      <c r="E5" s="166">
        <f>'1. Base Model'!F31</f>
        <v>660</v>
      </c>
      <c r="F5" s="157" t="s">
        <v>371</v>
      </c>
      <c r="G5" s="155" t="s">
        <v>736</v>
      </c>
    </row>
    <row r="6" spans="1:7" ht="15" customHeight="1" x14ac:dyDescent="0.2">
      <c r="B6" s="137"/>
      <c r="C6" s="163"/>
      <c r="D6" s="163"/>
      <c r="E6" s="163"/>
      <c r="F6" s="164"/>
      <c r="G6" s="165"/>
    </row>
    <row r="7" spans="1:7" ht="15" customHeight="1" x14ac:dyDescent="0.25">
      <c r="A7" s="148"/>
      <c r="B7" s="127" t="s">
        <v>714</v>
      </c>
      <c r="C7" s="95">
        <f>'1. Base Model'!K19</f>
        <v>877.55009778698616</v>
      </c>
      <c r="D7" s="95">
        <f>'1. Base Model'!J19</f>
        <v>1053.0601173443833</v>
      </c>
      <c r="E7" s="95">
        <f>'1. Base Model'!L19</f>
        <v>1089.372535183845</v>
      </c>
      <c r="F7" s="157" t="s">
        <v>371</v>
      </c>
      <c r="G7" s="155" t="s">
        <v>737</v>
      </c>
    </row>
    <row r="8" spans="1:7" ht="15" customHeight="1" x14ac:dyDescent="0.25">
      <c r="B8" s="127" t="s">
        <v>723</v>
      </c>
      <c r="C8" s="95">
        <f>'1. Base Model'!K22</f>
        <v>87.75500977869865</v>
      </c>
      <c r="D8" s="95">
        <f>'1. Base Model'!J22</f>
        <v>157.95901760165748</v>
      </c>
      <c r="E8" s="95">
        <f>'1. Base Model'!L22</f>
        <v>217.87450703676893</v>
      </c>
      <c r="F8" s="157" t="s">
        <v>371</v>
      </c>
      <c r="G8" s="155" t="s">
        <v>738</v>
      </c>
    </row>
    <row r="9" spans="1:7" ht="15" customHeight="1" x14ac:dyDescent="0.25">
      <c r="B9" s="127" t="s">
        <v>374</v>
      </c>
      <c r="C9" s="95">
        <f>C8 * C3</f>
        <v>18487909.397000317</v>
      </c>
      <c r="D9" s="95">
        <f>D8 * D3</f>
        <v>24577727.194774013</v>
      </c>
      <c r="E9" s="95">
        <f>E8 * E3</f>
        <v>19610389.610389605</v>
      </c>
      <c r="F9" s="154" t="s">
        <v>116</v>
      </c>
      <c r="G9" s="155" t="s">
        <v>20</v>
      </c>
    </row>
    <row r="10" spans="1:7" ht="15" customHeight="1" x14ac:dyDescent="0.2">
      <c r="B10" s="137"/>
      <c r="C10" s="164"/>
      <c r="D10" s="164"/>
      <c r="E10" s="164"/>
      <c r="F10" s="164"/>
      <c r="G10" s="165"/>
    </row>
    <row r="11" spans="1:7" ht="15" customHeight="1" x14ac:dyDescent="0.25">
      <c r="B11" s="127" t="s">
        <v>376</v>
      </c>
      <c r="C11" s="95">
        <f>C5 * C3</f>
        <v>139046422.90840569</v>
      </c>
      <c r="D11" s="95">
        <f>D5 * D3</f>
        <v>102693092.13772064</v>
      </c>
      <c r="E11" s="95">
        <f>E5 * E3</f>
        <v>59405101.215778664</v>
      </c>
      <c r="F11" s="154" t="s">
        <v>116</v>
      </c>
      <c r="G11" s="155" t="s">
        <v>20</v>
      </c>
    </row>
    <row r="12" spans="1:7" ht="15" customHeight="1" x14ac:dyDescent="0.25">
      <c r="B12" s="127" t="s">
        <v>722</v>
      </c>
      <c r="C12" s="95">
        <f>C8 * C3</f>
        <v>18487909.397000317</v>
      </c>
      <c r="D12" s="95">
        <f>D8 * D3</f>
        <v>24577727.194774013</v>
      </c>
      <c r="E12" s="95">
        <f>E8 * E3</f>
        <v>19610389.610389605</v>
      </c>
      <c r="F12" s="154" t="s">
        <v>116</v>
      </c>
      <c r="G12" s="155" t="s">
        <v>20</v>
      </c>
    </row>
    <row r="13" spans="1:7" ht="15" customHeight="1" x14ac:dyDescent="0.25">
      <c r="B13" s="127" t="s">
        <v>375</v>
      </c>
      <c r="C13" s="95">
        <f>C11 - C12</f>
        <v>120558513.51140538</v>
      </c>
      <c r="D13" s="95">
        <f>D11 - D12</f>
        <v>78115364.942946628</v>
      </c>
      <c r="E13" s="95">
        <f>E11 - E12</f>
        <v>39794711.605389059</v>
      </c>
      <c r="F13" s="154" t="s">
        <v>116</v>
      </c>
      <c r="G13" s="155" t="s">
        <v>20</v>
      </c>
    </row>
    <row r="14" spans="1:7" ht="15" customHeight="1" x14ac:dyDescent="0.25">
      <c r="B14" s="127" t="s">
        <v>704</v>
      </c>
      <c r="C14" s="156">
        <f>C13 / '1. Base Model'!K50</f>
        <v>399.20037586558072</v>
      </c>
      <c r="D14" s="156">
        <f>D13 / '1. Base Model'!J50</f>
        <v>258.66014881770406</v>
      </c>
      <c r="E14" s="156">
        <f>E13 / '1. Base Model'!L50</f>
        <v>131.7705682297651</v>
      </c>
      <c r="F14" s="157" t="s">
        <v>342</v>
      </c>
      <c r="G14" s="155" t="s">
        <v>20</v>
      </c>
    </row>
    <row r="15" spans="1:7" ht="15" customHeight="1" x14ac:dyDescent="0.2">
      <c r="B15" s="137"/>
      <c r="C15" s="163"/>
      <c r="D15" s="163"/>
      <c r="E15" s="163"/>
      <c r="F15" s="164"/>
      <c r="G15" s="165"/>
    </row>
    <row r="16" spans="1:7" ht="15" customHeight="1" x14ac:dyDescent="0.25">
      <c r="B16" s="158" t="s">
        <v>724</v>
      </c>
      <c r="C16" s="95">
        <f>'2. Dashboard Summary'!C55 - C$14</f>
        <v>202.77925988080852</v>
      </c>
      <c r="D16" s="95">
        <f>'2. Dashboard Summary'!D55 - D$14</f>
        <v>416.62785647271886</v>
      </c>
      <c r="E16" s="95">
        <f>'2. Dashboard Summary'!E55 - E$14</f>
        <v>586.5217696812341</v>
      </c>
      <c r="F16" s="157" t="s">
        <v>342</v>
      </c>
      <c r="G16" s="155" t="s">
        <v>20</v>
      </c>
    </row>
    <row r="17" spans="2:7" ht="15" customHeight="1" x14ac:dyDescent="0.25">
      <c r="B17" s="158" t="s">
        <v>725</v>
      </c>
      <c r="C17" s="95">
        <f>'2. Dashboard Summary'!C56 - C$14</f>
        <v>214.27672890327659</v>
      </c>
      <c r="D17" s="95">
        <f>'2. Dashboard Summary'!D56 - D$14</f>
        <v>438.25787128442136</v>
      </c>
      <c r="E17" s="95">
        <f>'2. Dashboard Summary'!E56 - E$14</f>
        <v>620.86839051958884</v>
      </c>
      <c r="F17" s="157" t="s">
        <v>342</v>
      </c>
      <c r="G17" s="155" t="s">
        <v>20</v>
      </c>
    </row>
    <row r="18" spans="2:7" ht="15" customHeight="1" thickBot="1" x14ac:dyDescent="0.3">
      <c r="B18" s="159" t="s">
        <v>726</v>
      </c>
      <c r="C18" s="160">
        <f>'2. Dashboard Summary'!C57 - C$14</f>
        <v>225.61108286938753</v>
      </c>
      <c r="D18" s="160">
        <f>'2. Dashboard Summary'!D57 - D$14</f>
        <v>456.87561989145723</v>
      </c>
      <c r="E18" s="160">
        <f>'2. Dashboard Summary'!E57 - E$14</f>
        <v>649.24724507193548</v>
      </c>
      <c r="F18" s="161" t="s">
        <v>342</v>
      </c>
      <c r="G18" s="162" t="s">
        <v>20</v>
      </c>
    </row>
  </sheetData>
  <printOptions horizontalCentered="1"/>
  <pageMargins left="0.7" right="0.7" top="0.75" bottom="0.75" header="0.3" footer="0.3"/>
  <pageSetup scale="84" orientation="landscape" r:id="rId1"/>
  <ignoredErrors>
    <ignoredError sqref="C5:E5"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249977111117893"/>
    <pageSetUpPr fitToPage="1"/>
  </sheetPr>
  <dimension ref="B1:AA46"/>
  <sheetViews>
    <sheetView zoomScaleNormal="100" workbookViewId="0"/>
  </sheetViews>
  <sheetFormatPr defaultColWidth="8.85546875" defaultRowHeight="15" customHeight="1" x14ac:dyDescent="0.2"/>
  <cols>
    <col min="1" max="1" width="2.7109375" style="146" customWidth="1"/>
    <col min="2" max="2" width="76" style="146" customWidth="1"/>
    <col min="3" max="10" width="20.7109375" style="146" customWidth="1"/>
    <col min="11" max="11" width="9.140625" style="147" customWidth="1"/>
    <col min="12" max="16384" width="8.85546875" style="146"/>
  </cols>
  <sheetData>
    <row r="1" spans="2:11" ht="15" customHeight="1" thickBot="1" x14ac:dyDescent="0.25"/>
    <row r="2" spans="2:11" s="147" customFormat="1" ht="15" customHeight="1" thickBot="1" x14ac:dyDescent="0.3">
      <c r="C2" s="169" t="s">
        <v>392</v>
      </c>
      <c r="D2" s="170" t="s">
        <v>393</v>
      </c>
      <c r="E2" s="169" t="s">
        <v>702</v>
      </c>
      <c r="F2" s="170" t="s">
        <v>703</v>
      </c>
      <c r="G2" s="169" t="s">
        <v>702</v>
      </c>
      <c r="H2" s="170" t="s">
        <v>703</v>
      </c>
      <c r="I2" s="169" t="s">
        <v>702</v>
      </c>
      <c r="J2" s="170" t="s">
        <v>703</v>
      </c>
    </row>
    <row r="3" spans="2:11" ht="15" customHeight="1" x14ac:dyDescent="0.2">
      <c r="B3" s="112" t="s">
        <v>383</v>
      </c>
      <c r="C3" s="336" t="s">
        <v>74</v>
      </c>
      <c r="D3" s="337"/>
      <c r="E3" s="336" t="s">
        <v>381</v>
      </c>
      <c r="F3" s="337"/>
      <c r="G3" s="336" t="s">
        <v>381</v>
      </c>
      <c r="H3" s="337"/>
      <c r="I3" s="336" t="s">
        <v>381</v>
      </c>
      <c r="J3" s="337"/>
      <c r="K3" s="338" t="s">
        <v>14</v>
      </c>
    </row>
    <row r="4" spans="2:11" ht="15" customHeight="1" x14ac:dyDescent="0.2">
      <c r="B4" s="113"/>
      <c r="C4" s="96"/>
      <c r="D4" s="97"/>
      <c r="E4" s="336" t="s">
        <v>710</v>
      </c>
      <c r="F4" s="337"/>
      <c r="G4" s="336" t="s">
        <v>711</v>
      </c>
      <c r="H4" s="337"/>
      <c r="I4" s="336" t="s">
        <v>712</v>
      </c>
      <c r="J4" s="337"/>
      <c r="K4" s="339"/>
    </row>
    <row r="5" spans="2:11" ht="15" customHeight="1" x14ac:dyDescent="0.2">
      <c r="B5" s="113" t="s">
        <v>384</v>
      </c>
      <c r="C5" s="96" t="s">
        <v>378</v>
      </c>
      <c r="D5" s="97" t="s">
        <v>379</v>
      </c>
      <c r="E5" s="96" t="s">
        <v>378</v>
      </c>
      <c r="F5" s="97" t="s">
        <v>379</v>
      </c>
      <c r="G5" s="96" t="s">
        <v>378</v>
      </c>
      <c r="H5" s="97" t="s">
        <v>379</v>
      </c>
      <c r="I5" s="96" t="s">
        <v>378</v>
      </c>
      <c r="J5" s="97" t="s">
        <v>379</v>
      </c>
      <c r="K5" s="339"/>
    </row>
    <row r="6" spans="2:11" ht="15" customHeight="1" x14ac:dyDescent="0.2">
      <c r="B6" s="114" t="s">
        <v>382</v>
      </c>
      <c r="C6" s="98">
        <f>'1. Base Model'!J50 * '1. Base Model'!J421</f>
        <v>135900</v>
      </c>
      <c r="D6" s="99">
        <f>'1. Base Model'!J50 * '1. Base Model'!J422</f>
        <v>69460</v>
      </c>
      <c r="E6" s="98">
        <f>'1. Base Model'!K50 * '1. Base Model'!K421</f>
        <v>135900</v>
      </c>
      <c r="F6" s="99">
        <f>'1. Base Model'!K50 * '1. Base Model'!K422</f>
        <v>69460</v>
      </c>
      <c r="G6" s="98">
        <f>'1. Base Model'!J50 * '1. Base Model'!J421</f>
        <v>135900</v>
      </c>
      <c r="H6" s="99">
        <f>'1. Base Model'!J50 * '1. Base Model'!J422</f>
        <v>69460</v>
      </c>
      <c r="I6" s="98">
        <f>'1. Base Model'!K50 * '1. Base Model'!K421</f>
        <v>135900</v>
      </c>
      <c r="J6" s="99">
        <f>'1. Base Model'!K50 * '1. Base Model'!K422</f>
        <v>69460</v>
      </c>
      <c r="K6" s="108" t="s">
        <v>385</v>
      </c>
    </row>
    <row r="7" spans="2:11" ht="15" customHeight="1" x14ac:dyDescent="0.2">
      <c r="B7" s="114"/>
      <c r="C7" s="98"/>
      <c r="D7" s="99"/>
      <c r="E7" s="98"/>
      <c r="F7" s="99"/>
      <c r="G7" s="98"/>
      <c r="H7" s="99"/>
      <c r="I7" s="98"/>
      <c r="J7" s="99"/>
      <c r="K7" s="108"/>
    </row>
    <row r="8" spans="2:11" ht="15" customHeight="1" x14ac:dyDescent="0.25">
      <c r="B8" s="114" t="s">
        <v>395</v>
      </c>
      <c r="C8" s="98"/>
      <c r="D8" s="99"/>
      <c r="E8" s="98">
        <f>-'3. Co-Product Displacement'!C14</f>
        <v>-399.20037586558072</v>
      </c>
      <c r="F8" s="99">
        <f>-'3. Co-Product Displacement'!C14</f>
        <v>-399.20037586558072</v>
      </c>
      <c r="G8" s="98">
        <f>-'3. Co-Product Displacement'!D14</f>
        <v>-258.66014881770406</v>
      </c>
      <c r="H8" s="99">
        <f>-'3. Co-Product Displacement'!D14</f>
        <v>-258.66014881770406</v>
      </c>
      <c r="I8" s="98">
        <f>-'3. Co-Product Displacement'!E14</f>
        <v>-131.7705682297651</v>
      </c>
      <c r="J8" s="99">
        <f>-'3. Co-Product Displacement'!E14</f>
        <v>-131.7705682297651</v>
      </c>
      <c r="K8" s="108"/>
    </row>
    <row r="9" spans="2:11" ht="15" customHeight="1" x14ac:dyDescent="0.25">
      <c r="B9" s="114" t="s">
        <v>396</v>
      </c>
      <c r="C9" s="98"/>
      <c r="D9" s="99"/>
      <c r="E9" s="98">
        <f t="shared" ref="E9:J9" si="0">E8 * E6</f>
        <v>-54251331.080132417</v>
      </c>
      <c r="F9" s="99">
        <f t="shared" si="0"/>
        <v>-27728458.107623238</v>
      </c>
      <c r="G9" s="98">
        <f t="shared" si="0"/>
        <v>-35151914.224325985</v>
      </c>
      <c r="H9" s="99">
        <f t="shared" si="0"/>
        <v>-17966533.936877724</v>
      </c>
      <c r="I9" s="98">
        <f t="shared" si="0"/>
        <v>-17907620.222425077</v>
      </c>
      <c r="J9" s="99">
        <f t="shared" si="0"/>
        <v>-9152783.6692394838</v>
      </c>
      <c r="K9" s="108"/>
    </row>
    <row r="10" spans="2:11" ht="15" customHeight="1" x14ac:dyDescent="0.25">
      <c r="B10" s="114" t="s">
        <v>397</v>
      </c>
      <c r="C10" s="98"/>
      <c r="D10" s="99"/>
      <c r="E10" s="102">
        <f>E8 * 1000 / 5159</f>
        <v>-77.379409937115867</v>
      </c>
      <c r="F10" s="103">
        <f>F8 * 1000 / 5813</f>
        <v>-68.673727140130865</v>
      </c>
      <c r="G10" s="102">
        <f>G8 * 1000 / 5159</f>
        <v>-50.137652416690067</v>
      </c>
      <c r="H10" s="103">
        <f>H8 * 1000 / 5813</f>
        <v>-44.49684307891004</v>
      </c>
      <c r="I10" s="102">
        <f>I8 * 1000 / 5159</f>
        <v>-25.541881804567765</v>
      </c>
      <c r="J10" s="103">
        <f>J8 * 1000 / 5813</f>
        <v>-22.66825532939362</v>
      </c>
      <c r="K10" s="108"/>
    </row>
    <row r="11" spans="2:11" ht="15" customHeight="1" x14ac:dyDescent="0.2">
      <c r="B11" s="114"/>
      <c r="C11" s="98"/>
      <c r="D11" s="99"/>
      <c r="E11" s="98"/>
      <c r="F11" s="99"/>
      <c r="G11" s="98"/>
      <c r="H11" s="99"/>
      <c r="I11" s="98"/>
      <c r="J11" s="99"/>
      <c r="K11" s="108"/>
    </row>
    <row r="12" spans="2:11" ht="15" customHeight="1" x14ac:dyDescent="0.25">
      <c r="B12" s="115" t="s">
        <v>398</v>
      </c>
      <c r="C12" s="100">
        <f>23.9 + ((11.7 / 25) * 34) + 0.2</f>
        <v>40.012</v>
      </c>
      <c r="D12" s="101">
        <f>24.6 + ((11.8 / 25) * 34) + 0.2</f>
        <v>40.848000000000006</v>
      </c>
      <c r="E12" s="100">
        <f>'2. Dashboard Summary'!C11 + '2. Dashboard Summary'!C26 + '2. Dashboard Summary'!C37 + '2. Dashboard Summary'!C61 + '2. Dashboard Summary'!C62</f>
        <v>158.79218849669064</v>
      </c>
      <c r="F12" s="101">
        <f>'2. Dashboard Summary'!C11 + '2. Dashboard Summary'!C26 + '2. Dashboard Summary'!C37 + '2. Dashboard Summary'!C61 + '2. Dashboard Summary'!C62</f>
        <v>158.79218849669064</v>
      </c>
      <c r="G12" s="100">
        <f>'2. Dashboard Summary'!D11 + '2. Dashboard Summary'!D26 + '2. Dashboard Summary'!D37 + '2. Dashboard Summary'!D61 + '2. Dashboard Summary'!D62</f>
        <v>226.76767726093786</v>
      </c>
      <c r="H12" s="101">
        <f>'2. Dashboard Summary'!D11 + '2. Dashboard Summary'!D26 + '2. Dashboard Summary'!D37 + '2. Dashboard Summary'!D61 + '2. Dashboard Summary'!D62</f>
        <v>226.76767726093786</v>
      </c>
      <c r="I12" s="100">
        <f>'2. Dashboard Summary'!E11 + '2. Dashboard Summary'!E26 + '2. Dashboard Summary'!E37 + '2. Dashboard Summary'!E61 + '2. Dashboard Summary'!E62</f>
        <v>267.02318933914563</v>
      </c>
      <c r="J12" s="101">
        <f>'2. Dashboard Summary'!E11 + '2. Dashboard Summary'!E26 + '2. Dashboard Summary'!E37 + '2. Dashboard Summary'!E61 + '2. Dashboard Summary'!E62</f>
        <v>267.02318933914563</v>
      </c>
      <c r="K12" s="109" t="s">
        <v>386</v>
      </c>
    </row>
    <row r="13" spans="2:11" ht="15" customHeight="1" x14ac:dyDescent="0.25">
      <c r="B13" s="115" t="s">
        <v>399</v>
      </c>
      <c r="C13" s="102">
        <f t="shared" ref="C13:J13" si="1">C12 * C6</f>
        <v>5437630.7999999998</v>
      </c>
      <c r="D13" s="103">
        <f t="shared" si="1"/>
        <v>2837302.0800000005</v>
      </c>
      <c r="E13" s="102">
        <f t="shared" si="1"/>
        <v>21579858.416700259</v>
      </c>
      <c r="F13" s="103">
        <f t="shared" si="1"/>
        <v>11029705.412980132</v>
      </c>
      <c r="G13" s="102">
        <f t="shared" si="1"/>
        <v>30817727.339761455</v>
      </c>
      <c r="H13" s="103">
        <f t="shared" si="1"/>
        <v>15751282.862544743</v>
      </c>
      <c r="I13" s="102">
        <f t="shared" si="1"/>
        <v>36288451.431189895</v>
      </c>
      <c r="J13" s="103">
        <f t="shared" si="1"/>
        <v>18547430.731497057</v>
      </c>
      <c r="K13" s="109"/>
    </row>
    <row r="14" spans="2:11" ht="15" customHeight="1" x14ac:dyDescent="0.25">
      <c r="B14" s="115" t="s">
        <v>400</v>
      </c>
      <c r="C14" s="102">
        <f>C12 * 1000 / 5159</f>
        <v>7.755766621438263</v>
      </c>
      <c r="D14" s="103">
        <f>D12 * 1000 / 5813</f>
        <v>7.0270084293824198</v>
      </c>
      <c r="E14" s="102">
        <f>E12 * 1000 / 5159</f>
        <v>30.779644988697548</v>
      </c>
      <c r="F14" s="103">
        <f>F12 * 1000 / 5813</f>
        <v>27.316736366194849</v>
      </c>
      <c r="G14" s="102">
        <f>G12 * 1000 / 5159</f>
        <v>43.95574283018761</v>
      </c>
      <c r="H14" s="103">
        <f>H12 * 1000 / 5813</f>
        <v>39.010438200746236</v>
      </c>
      <c r="I14" s="102">
        <f>I12 * 1000 / 5159</f>
        <v>51.758710862404655</v>
      </c>
      <c r="J14" s="103">
        <f>J12 * 1000 / 5813</f>
        <v>45.935521991939723</v>
      </c>
      <c r="K14" s="109"/>
    </row>
    <row r="15" spans="2:11" ht="15" customHeight="1" x14ac:dyDescent="0.2">
      <c r="B15" s="115"/>
      <c r="C15" s="100"/>
      <c r="D15" s="101"/>
      <c r="E15" s="100"/>
      <c r="F15" s="101"/>
      <c r="G15" s="100"/>
      <c r="H15" s="101"/>
      <c r="I15" s="100"/>
      <c r="J15" s="101"/>
      <c r="K15" s="109"/>
    </row>
    <row r="16" spans="2:11" ht="15" customHeight="1" x14ac:dyDescent="0.25">
      <c r="B16" s="115" t="s">
        <v>401</v>
      </c>
      <c r="C16" s="100">
        <f>'1. Base Model'!J377</f>
        <v>4.1888391211874367</v>
      </c>
      <c r="D16" s="101">
        <f>'1. Base Model'!J377</f>
        <v>4.1888391211874367</v>
      </c>
      <c r="E16" s="100">
        <f>'1. Base Model'!K377</f>
        <v>3.7234125521666104</v>
      </c>
      <c r="F16" s="101">
        <f>'1. Base Model'!K377</f>
        <v>3.7234125521666104</v>
      </c>
      <c r="G16" s="100">
        <f>'1. Base Model'!J377</f>
        <v>4.1888391211874367</v>
      </c>
      <c r="H16" s="101">
        <f>'1. Base Model'!J377</f>
        <v>4.1888391211874367</v>
      </c>
      <c r="I16" s="100">
        <f>'1. Base Model'!L377</f>
        <v>4.6542656902082626</v>
      </c>
      <c r="J16" s="101">
        <f>'1. Base Model'!L377</f>
        <v>4.6542656902082626</v>
      </c>
      <c r="K16" s="109" t="s">
        <v>387</v>
      </c>
    </row>
    <row r="17" spans="2:27" ht="15" customHeight="1" x14ac:dyDescent="0.25">
      <c r="B17" s="115" t="s">
        <v>402</v>
      </c>
      <c r="C17" s="102">
        <f t="shared" ref="C17:J17" si="2">C16 * C6</f>
        <v>569263.2365693727</v>
      </c>
      <c r="D17" s="103">
        <f t="shared" si="2"/>
        <v>290956.76535767934</v>
      </c>
      <c r="E17" s="102">
        <f t="shared" si="2"/>
        <v>506011.76583944238</v>
      </c>
      <c r="F17" s="103">
        <f t="shared" si="2"/>
        <v>258628.23587349275</v>
      </c>
      <c r="G17" s="102">
        <f t="shared" si="2"/>
        <v>569263.2365693727</v>
      </c>
      <c r="H17" s="103">
        <f t="shared" si="2"/>
        <v>290956.76535767934</v>
      </c>
      <c r="I17" s="102">
        <f t="shared" si="2"/>
        <v>632514.70729930291</v>
      </c>
      <c r="J17" s="103">
        <f t="shared" si="2"/>
        <v>323285.29484186595</v>
      </c>
      <c r="K17" s="109"/>
    </row>
    <row r="18" spans="2:27" ht="15" customHeight="1" x14ac:dyDescent="0.25">
      <c r="B18" s="115" t="s">
        <v>403</v>
      </c>
      <c r="C18" s="102">
        <f>C16 * 1000 / 5159</f>
        <v>0.81194788160252696</v>
      </c>
      <c r="D18" s="103">
        <f>D16 * 1000 / 5813</f>
        <v>0.72059850699938699</v>
      </c>
      <c r="E18" s="102">
        <f>E16 * 1000 / 5159</f>
        <v>0.72173145031335739</v>
      </c>
      <c r="F18" s="103">
        <f>F16 * 1000 / 5813</f>
        <v>0.64053200622167739</v>
      </c>
      <c r="G18" s="102">
        <f>G16 * 1000 / 5159</f>
        <v>0.81194788160252696</v>
      </c>
      <c r="H18" s="103">
        <f>H16 * 1000 / 5813</f>
        <v>0.72059850699938699</v>
      </c>
      <c r="I18" s="102">
        <f>I16 * 1000 / 5159</f>
        <v>0.90216431289169663</v>
      </c>
      <c r="J18" s="103">
        <f>J16 * 1000 / 5813</f>
        <v>0.80066500777709659</v>
      </c>
      <c r="K18" s="109"/>
    </row>
    <row r="19" spans="2:27" ht="15" customHeight="1" x14ac:dyDescent="0.2">
      <c r="B19" s="115"/>
      <c r="C19" s="100"/>
      <c r="D19" s="101"/>
      <c r="E19" s="100"/>
      <c r="F19" s="101"/>
      <c r="G19" s="100"/>
      <c r="H19" s="101"/>
      <c r="I19" s="100"/>
      <c r="J19" s="101"/>
      <c r="K19" s="109"/>
    </row>
    <row r="20" spans="2:27" ht="15" customHeight="1" x14ac:dyDescent="0.25">
      <c r="B20" s="115" t="s">
        <v>404</v>
      </c>
      <c r="C20" s="100">
        <f>46.2 + ((1.4 / 25) * 34) + 0.2</f>
        <v>48.304000000000002</v>
      </c>
      <c r="D20" s="101">
        <f>50.8 + ((1.6 / 25) * 34) + 0.2</f>
        <v>53.176000000000002</v>
      </c>
      <c r="E20" s="100">
        <f>46.2 + ((1.4 / 25) * 34) + 0.2</f>
        <v>48.304000000000002</v>
      </c>
      <c r="F20" s="101">
        <f>50.8 + ((1.6 / 25) * 34) + 0.2</f>
        <v>53.176000000000002</v>
      </c>
      <c r="G20" s="100">
        <f>46.2 + ((1.4 / 25) * 34) + 0.2</f>
        <v>48.304000000000002</v>
      </c>
      <c r="H20" s="101">
        <f>50.8 + ((1.6 / 25) * 34) + 0.2</f>
        <v>53.176000000000002</v>
      </c>
      <c r="I20" s="100">
        <f>46.2 + ((1.4 / 25) * 34) + 0.2</f>
        <v>48.304000000000002</v>
      </c>
      <c r="J20" s="101">
        <f>50.8 + ((1.6 / 25) * 34) + 0.2</f>
        <v>53.176000000000002</v>
      </c>
      <c r="K20" s="109" t="s">
        <v>388</v>
      </c>
    </row>
    <row r="21" spans="2:27" ht="15" customHeight="1" x14ac:dyDescent="0.25">
      <c r="B21" s="115" t="s">
        <v>405</v>
      </c>
      <c r="C21" s="102">
        <f t="shared" ref="C21:J21" si="3">C20 * C6</f>
        <v>6564513.6000000006</v>
      </c>
      <c r="D21" s="103">
        <f t="shared" si="3"/>
        <v>3693604.96</v>
      </c>
      <c r="E21" s="102">
        <f t="shared" si="3"/>
        <v>6564513.6000000006</v>
      </c>
      <c r="F21" s="103">
        <f t="shared" si="3"/>
        <v>3693604.96</v>
      </c>
      <c r="G21" s="102">
        <f t="shared" si="3"/>
        <v>6564513.6000000006</v>
      </c>
      <c r="H21" s="103">
        <f t="shared" si="3"/>
        <v>3693604.96</v>
      </c>
      <c r="I21" s="102">
        <f t="shared" si="3"/>
        <v>6564513.6000000006</v>
      </c>
      <c r="J21" s="103">
        <f t="shared" si="3"/>
        <v>3693604.96</v>
      </c>
      <c r="K21" s="109"/>
    </row>
    <row r="22" spans="2:27" ht="15" customHeight="1" x14ac:dyDescent="0.25">
      <c r="B22" s="115" t="s">
        <v>406</v>
      </c>
      <c r="C22" s="102">
        <f>C20 * 1000 / 5159</f>
        <v>9.3630548555921695</v>
      </c>
      <c r="D22" s="103">
        <f>D20 * 1000 / 5813</f>
        <v>9.1477722346464816</v>
      </c>
      <c r="E22" s="102">
        <f>E20 * 1000 / 5159</f>
        <v>9.3630548555921695</v>
      </c>
      <c r="F22" s="103">
        <f>F20 * 1000 / 5813</f>
        <v>9.1477722346464816</v>
      </c>
      <c r="G22" s="102">
        <f>G20 * 1000 / 5159</f>
        <v>9.3630548555921695</v>
      </c>
      <c r="H22" s="103">
        <f>H20 * 1000 / 5813</f>
        <v>9.1477722346464816</v>
      </c>
      <c r="I22" s="102">
        <f>I20 * 1000 / 5159</f>
        <v>9.3630548555921695</v>
      </c>
      <c r="J22" s="103">
        <f>J20 * 1000 / 5813</f>
        <v>9.1477722346464816</v>
      </c>
      <c r="K22" s="109"/>
    </row>
    <row r="23" spans="2:27" ht="15" customHeight="1" x14ac:dyDescent="0.2">
      <c r="B23" s="115"/>
      <c r="C23" s="100"/>
      <c r="D23" s="101"/>
      <c r="E23" s="100"/>
      <c r="F23" s="101"/>
      <c r="G23" s="100"/>
      <c r="H23" s="101"/>
      <c r="I23" s="100"/>
      <c r="J23" s="101"/>
      <c r="K23" s="109"/>
    </row>
    <row r="24" spans="2:27" ht="15" customHeight="1" x14ac:dyDescent="0.25">
      <c r="B24" s="115" t="s">
        <v>407</v>
      </c>
      <c r="C24" s="100">
        <f>5.2 + ((0.1 / 25) * 34) + 0</f>
        <v>5.3360000000000003</v>
      </c>
      <c r="D24" s="101">
        <f>4.7 + ((0.1 / 25) * 34) + 0</f>
        <v>4.8360000000000003</v>
      </c>
      <c r="E24" s="100">
        <f>5.2 + ((0.1 / 25) * 34) + 0</f>
        <v>5.3360000000000003</v>
      </c>
      <c r="F24" s="101">
        <f>4.7 + ((0.1 / 25) * 34) + 0</f>
        <v>4.8360000000000003</v>
      </c>
      <c r="G24" s="100">
        <f>5.2 + ((0.1 / 25) * 34) + 0</f>
        <v>5.3360000000000003</v>
      </c>
      <c r="H24" s="101">
        <f>4.7 + ((0.1 / 25) * 34) + 0</f>
        <v>4.8360000000000003</v>
      </c>
      <c r="I24" s="100">
        <f>5.2 + ((0.1 / 25) * 34) + 0</f>
        <v>5.3360000000000003</v>
      </c>
      <c r="J24" s="101">
        <f>4.7 + ((0.1 / 25) * 34) + 0</f>
        <v>4.8360000000000003</v>
      </c>
      <c r="K24" s="109" t="s">
        <v>389</v>
      </c>
    </row>
    <row r="25" spans="2:27" ht="15" customHeight="1" x14ac:dyDescent="0.25">
      <c r="B25" s="115" t="s">
        <v>408</v>
      </c>
      <c r="C25" s="102">
        <f t="shared" ref="C25:J25" si="4">C24 * C6</f>
        <v>725162.4</v>
      </c>
      <c r="D25" s="103">
        <f t="shared" si="4"/>
        <v>335908.56</v>
      </c>
      <c r="E25" s="102">
        <f t="shared" si="4"/>
        <v>725162.4</v>
      </c>
      <c r="F25" s="103">
        <f t="shared" si="4"/>
        <v>335908.56</v>
      </c>
      <c r="G25" s="102">
        <f t="shared" si="4"/>
        <v>725162.4</v>
      </c>
      <c r="H25" s="103">
        <f t="shared" si="4"/>
        <v>335908.56</v>
      </c>
      <c r="I25" s="102">
        <f t="shared" si="4"/>
        <v>725162.4</v>
      </c>
      <c r="J25" s="103">
        <f t="shared" si="4"/>
        <v>335908.56</v>
      </c>
      <c r="K25" s="109"/>
    </row>
    <row r="26" spans="2:27" ht="15" customHeight="1" thickBot="1" x14ac:dyDescent="0.3">
      <c r="B26" s="115" t="s">
        <v>409</v>
      </c>
      <c r="C26" s="102">
        <f>C24 * 1000 / 5159</f>
        <v>1.0343089746074821</v>
      </c>
      <c r="D26" s="103">
        <f>D24 * 1000 / 5813</f>
        <v>0.83192843626354718</v>
      </c>
      <c r="E26" s="102">
        <f>E24 * 1000 / 5159</f>
        <v>1.0343089746074821</v>
      </c>
      <c r="F26" s="103">
        <f>F24 * 1000 / 5813</f>
        <v>0.83192843626354718</v>
      </c>
      <c r="G26" s="102">
        <f>G24 * 1000 / 5159</f>
        <v>1.0343089746074821</v>
      </c>
      <c r="H26" s="103">
        <f>H24 * 1000 / 5813</f>
        <v>0.83192843626354718</v>
      </c>
      <c r="I26" s="102">
        <f>I24 * 1000 / 5159</f>
        <v>1.0343089746074821</v>
      </c>
      <c r="J26" s="103">
        <f>J24 * 1000 / 5813</f>
        <v>0.83192843626354718</v>
      </c>
      <c r="K26" s="109"/>
    </row>
    <row r="27" spans="2:27" ht="15" customHeight="1" x14ac:dyDescent="0.2">
      <c r="B27" s="115"/>
      <c r="C27" s="100"/>
      <c r="D27" s="101"/>
      <c r="E27" s="100"/>
      <c r="F27" s="101"/>
      <c r="G27" s="100"/>
      <c r="H27" s="101"/>
      <c r="I27" s="100"/>
      <c r="J27" s="101"/>
      <c r="K27" s="109"/>
      <c r="M27" s="327" t="s">
        <v>740</v>
      </c>
      <c r="N27" s="328"/>
      <c r="O27" s="328"/>
      <c r="P27" s="328"/>
      <c r="Q27" s="328"/>
      <c r="R27" s="328"/>
      <c r="S27" s="328"/>
      <c r="T27" s="328"/>
      <c r="U27" s="328"/>
      <c r="V27" s="328"/>
      <c r="W27" s="328"/>
      <c r="X27" s="328"/>
      <c r="Y27" s="328"/>
      <c r="Z27" s="328"/>
      <c r="AA27" s="329"/>
    </row>
    <row r="28" spans="2:27" ht="15" customHeight="1" x14ac:dyDescent="0.25">
      <c r="B28" s="115" t="s">
        <v>410</v>
      </c>
      <c r="C28" s="100">
        <f>367 + ((0.6 / 25) * 34) + 7.3</f>
        <v>375.11599999999999</v>
      </c>
      <c r="D28" s="101">
        <f>422 + ((0 / 25) * 34) + 0.3</f>
        <v>422.3</v>
      </c>
      <c r="E28" s="100">
        <f>367 + ((0.6 / 25) * 34) + 7.3</f>
        <v>375.11599999999999</v>
      </c>
      <c r="F28" s="101">
        <f>422 + ((0 / 25) * 34) + 0.3</f>
        <v>422.3</v>
      </c>
      <c r="G28" s="100">
        <f>367 + ((0.6 / 25) * 34) + 7.3</f>
        <v>375.11599999999999</v>
      </c>
      <c r="H28" s="101">
        <f>422 + ((0 / 25) * 34) + 0.3</f>
        <v>422.3</v>
      </c>
      <c r="I28" s="100">
        <f>367 + ((0.6 / 25) * 34) + 7.3</f>
        <v>375.11599999999999</v>
      </c>
      <c r="J28" s="101">
        <f>422 + ((0 / 25) * 34) + 0.3</f>
        <v>422.3</v>
      </c>
      <c r="K28" s="109" t="s">
        <v>390</v>
      </c>
      <c r="M28" s="330"/>
      <c r="N28" s="331"/>
      <c r="O28" s="331"/>
      <c r="P28" s="331"/>
      <c r="Q28" s="331"/>
      <c r="R28" s="331"/>
      <c r="S28" s="331"/>
      <c r="T28" s="331"/>
      <c r="U28" s="331"/>
      <c r="V28" s="331"/>
      <c r="W28" s="331"/>
      <c r="X28" s="331"/>
      <c r="Y28" s="331"/>
      <c r="Z28" s="331"/>
      <c r="AA28" s="332"/>
    </row>
    <row r="29" spans="2:27" ht="15" customHeight="1" x14ac:dyDescent="0.25">
      <c r="B29" s="115" t="s">
        <v>411</v>
      </c>
      <c r="C29" s="102">
        <f t="shared" ref="C29:J29" si="5">C28 * C6</f>
        <v>50978264.399999999</v>
      </c>
      <c r="D29" s="103">
        <f t="shared" si="5"/>
        <v>29332958</v>
      </c>
      <c r="E29" s="102">
        <f t="shared" si="5"/>
        <v>50978264.399999999</v>
      </c>
      <c r="F29" s="103">
        <f t="shared" si="5"/>
        <v>29332958</v>
      </c>
      <c r="G29" s="102">
        <f t="shared" si="5"/>
        <v>50978264.399999999</v>
      </c>
      <c r="H29" s="103">
        <f t="shared" si="5"/>
        <v>29332958</v>
      </c>
      <c r="I29" s="102">
        <f t="shared" si="5"/>
        <v>50978264.399999999</v>
      </c>
      <c r="J29" s="103">
        <f t="shared" si="5"/>
        <v>29332958</v>
      </c>
      <c r="K29" s="109"/>
      <c r="M29" s="330"/>
      <c r="N29" s="331"/>
      <c r="O29" s="331"/>
      <c r="P29" s="331"/>
      <c r="Q29" s="331"/>
      <c r="R29" s="331"/>
      <c r="S29" s="331"/>
      <c r="T29" s="331"/>
      <c r="U29" s="331"/>
      <c r="V29" s="331"/>
      <c r="W29" s="331"/>
      <c r="X29" s="331"/>
      <c r="Y29" s="331"/>
      <c r="Z29" s="331"/>
      <c r="AA29" s="332"/>
    </row>
    <row r="30" spans="2:27" ht="15" customHeight="1" x14ac:dyDescent="0.25">
      <c r="B30" s="116" t="s">
        <v>412</v>
      </c>
      <c r="C30" s="104">
        <f>C28 * 1000 / 5159</f>
        <v>72.710990502035273</v>
      </c>
      <c r="D30" s="105">
        <f>D28 * 1000 / 5813</f>
        <v>72.647514192327549</v>
      </c>
      <c r="E30" s="104">
        <f>E28 * 1000 / 5159</f>
        <v>72.710990502035273</v>
      </c>
      <c r="F30" s="105">
        <f>F28 * 1000 / 5813</f>
        <v>72.647514192327549</v>
      </c>
      <c r="G30" s="104">
        <f>G28 * 1000 / 5159</f>
        <v>72.710990502035273</v>
      </c>
      <c r="H30" s="105">
        <f>H28 * 1000 / 5813</f>
        <v>72.647514192327549</v>
      </c>
      <c r="I30" s="104">
        <f>I28 * 1000 / 5159</f>
        <v>72.710990502035273</v>
      </c>
      <c r="J30" s="105">
        <f>J28 * 1000 / 5813</f>
        <v>72.647514192327549</v>
      </c>
      <c r="K30" s="110"/>
      <c r="M30" s="330"/>
      <c r="N30" s="331"/>
      <c r="O30" s="331"/>
      <c r="P30" s="331"/>
      <c r="Q30" s="331"/>
      <c r="R30" s="331"/>
      <c r="S30" s="331"/>
      <c r="T30" s="331"/>
      <c r="U30" s="331"/>
      <c r="V30" s="331"/>
      <c r="W30" s="331"/>
      <c r="X30" s="331"/>
      <c r="Y30" s="331"/>
      <c r="Z30" s="331"/>
      <c r="AA30" s="332"/>
    </row>
    <row r="31" spans="2:27" ht="15" customHeight="1" x14ac:dyDescent="0.25">
      <c r="B31" s="117" t="s">
        <v>413</v>
      </c>
      <c r="C31" s="102">
        <f>C13 + C17 + C21 + C25 + C29</f>
        <v>64274834.43656937</v>
      </c>
      <c r="D31" s="103">
        <f>D13 + D17 + D21 + D25 + D29</f>
        <v>36490730.365357682</v>
      </c>
      <c r="E31" s="102">
        <f>E13 + E17 + E21 + E25 + E29 + E9</f>
        <v>26102479.50240729</v>
      </c>
      <c r="F31" s="103">
        <f t="shared" ref="F31:J31" si="6">F13 + F17 + F21 + F25 + F29 + F9</f>
        <v>16922347.061230388</v>
      </c>
      <c r="G31" s="102">
        <f t="shared" si="6"/>
        <v>54503016.752004832</v>
      </c>
      <c r="H31" s="103">
        <f t="shared" si="6"/>
        <v>31438177.211024698</v>
      </c>
      <c r="I31" s="102">
        <f t="shared" si="6"/>
        <v>77281286.316064119</v>
      </c>
      <c r="J31" s="103">
        <f t="shared" si="6"/>
        <v>43080403.87709944</v>
      </c>
      <c r="K31" s="109"/>
      <c r="M31" s="330"/>
      <c r="N31" s="331"/>
      <c r="O31" s="331"/>
      <c r="P31" s="331"/>
      <c r="Q31" s="331"/>
      <c r="R31" s="331"/>
      <c r="S31" s="331"/>
      <c r="T31" s="331"/>
      <c r="U31" s="331"/>
      <c r="V31" s="331"/>
      <c r="W31" s="331"/>
      <c r="X31" s="331"/>
      <c r="Y31" s="331"/>
      <c r="Z31" s="331"/>
      <c r="AA31" s="332"/>
    </row>
    <row r="32" spans="2:27" ht="15" customHeight="1" x14ac:dyDescent="0.25">
      <c r="B32" s="117" t="s">
        <v>414</v>
      </c>
      <c r="C32" s="102">
        <f t="shared" ref="C32:J32" si="7">C31 / C6</f>
        <v>472.95683912118744</v>
      </c>
      <c r="D32" s="103">
        <f t="shared" si="7"/>
        <v>525.34883912118744</v>
      </c>
      <c r="E32" s="102">
        <f t="shared" si="7"/>
        <v>192.0712251832766</v>
      </c>
      <c r="F32" s="103">
        <f t="shared" si="7"/>
        <v>243.62722518327652</v>
      </c>
      <c r="G32" s="102">
        <f t="shared" si="7"/>
        <v>401.05236756442116</v>
      </c>
      <c r="H32" s="103">
        <f t="shared" si="7"/>
        <v>452.6083675644212</v>
      </c>
      <c r="I32" s="102">
        <f t="shared" si="7"/>
        <v>568.66288679958882</v>
      </c>
      <c r="J32" s="103">
        <f t="shared" si="7"/>
        <v>620.21888679958886</v>
      </c>
      <c r="K32" s="109"/>
      <c r="M32" s="330"/>
      <c r="N32" s="331"/>
      <c r="O32" s="331"/>
      <c r="P32" s="331"/>
      <c r="Q32" s="331"/>
      <c r="R32" s="331"/>
      <c r="S32" s="331"/>
      <c r="T32" s="331"/>
      <c r="U32" s="331"/>
      <c r="V32" s="331"/>
      <c r="W32" s="331"/>
      <c r="X32" s="331"/>
      <c r="Y32" s="331"/>
      <c r="Z32" s="331"/>
      <c r="AA32" s="332"/>
    </row>
    <row r="33" spans="2:27" ht="15" customHeight="1" thickBot="1" x14ac:dyDescent="0.3">
      <c r="B33" s="118" t="s">
        <v>415</v>
      </c>
      <c r="C33" s="106">
        <f>C32 * 1000 / 5159</f>
        <v>91.676068835275728</v>
      </c>
      <c r="D33" s="107">
        <f>D32 * 1000 / 5813</f>
        <v>90.374821799619383</v>
      </c>
      <c r="E33" s="106">
        <f>E32 * 1000 / 5159</f>
        <v>37.230320834129991</v>
      </c>
      <c r="F33" s="107">
        <f>F32 * 1000 / 5813</f>
        <v>41.910756095523226</v>
      </c>
      <c r="G33" s="106">
        <f>G32 * 1000 / 5159</f>
        <v>77.738392627334974</v>
      </c>
      <c r="H33" s="107">
        <f>H32 * 1000 / 5813</f>
        <v>77.861408492073153</v>
      </c>
      <c r="I33" s="106">
        <f>I32 * 1000 / 5159</f>
        <v>110.22734770296351</v>
      </c>
      <c r="J33" s="107">
        <f>J32 * 1000 / 5813</f>
        <v>106.6951465335608</v>
      </c>
      <c r="K33" s="111" t="s">
        <v>391</v>
      </c>
      <c r="M33" s="333"/>
      <c r="N33" s="334"/>
      <c r="O33" s="334"/>
      <c r="P33" s="334"/>
      <c r="Q33" s="334"/>
      <c r="R33" s="334"/>
      <c r="S33" s="334"/>
      <c r="T33" s="334"/>
      <c r="U33" s="334"/>
      <c r="V33" s="334"/>
      <c r="W33" s="334"/>
      <c r="X33" s="334"/>
      <c r="Y33" s="334"/>
      <c r="Z33" s="334"/>
      <c r="AA33" s="335"/>
    </row>
    <row r="34" spans="2:27" ht="15" customHeight="1" thickBot="1" x14ac:dyDescent="0.25">
      <c r="C34" s="167"/>
      <c r="G34" s="168">
        <f>ABS(E33-G33)</f>
        <v>40.508071793204984</v>
      </c>
      <c r="H34" s="168">
        <f>ABS(F33-H33)</f>
        <v>35.950652396549927</v>
      </c>
    </row>
    <row r="35" spans="2:27" ht="15" customHeight="1" x14ac:dyDescent="0.2">
      <c r="B35" s="318" t="s">
        <v>380</v>
      </c>
      <c r="C35" s="319"/>
      <c r="D35" s="319"/>
      <c r="E35" s="319"/>
      <c r="F35" s="319"/>
      <c r="G35" s="319"/>
      <c r="H35" s="319"/>
      <c r="I35" s="319"/>
      <c r="J35" s="319"/>
      <c r="K35" s="320"/>
    </row>
    <row r="36" spans="2:27" ht="15" customHeight="1" x14ac:dyDescent="0.25">
      <c r="B36" s="324" t="s">
        <v>696</v>
      </c>
      <c r="C36" s="325"/>
      <c r="D36" s="325"/>
      <c r="E36" s="325"/>
      <c r="F36" s="325"/>
      <c r="G36" s="325"/>
      <c r="H36" s="325"/>
      <c r="I36" s="325"/>
      <c r="J36" s="325"/>
      <c r="K36" s="326"/>
    </row>
    <row r="37" spans="2:27" ht="15" customHeight="1" x14ac:dyDescent="0.25">
      <c r="B37" s="312" t="s">
        <v>697</v>
      </c>
      <c r="C37" s="313"/>
      <c r="D37" s="313"/>
      <c r="E37" s="313"/>
      <c r="F37" s="313"/>
      <c r="G37" s="313"/>
      <c r="H37" s="313"/>
      <c r="I37" s="313"/>
      <c r="J37" s="313"/>
      <c r="K37" s="314"/>
    </row>
    <row r="38" spans="2:27" ht="15" customHeight="1" x14ac:dyDescent="0.25">
      <c r="B38" s="312" t="s">
        <v>698</v>
      </c>
      <c r="C38" s="313"/>
      <c r="D38" s="313"/>
      <c r="E38" s="313"/>
      <c r="F38" s="313"/>
      <c r="G38" s="313"/>
      <c r="H38" s="313"/>
      <c r="I38" s="313"/>
      <c r="J38" s="313"/>
      <c r="K38" s="314"/>
    </row>
    <row r="39" spans="2:27" ht="15" customHeight="1" x14ac:dyDescent="0.25">
      <c r="B39" s="312" t="s">
        <v>695</v>
      </c>
      <c r="C39" s="313"/>
      <c r="D39" s="313"/>
      <c r="E39" s="313"/>
      <c r="F39" s="313"/>
      <c r="G39" s="313"/>
      <c r="H39" s="313"/>
      <c r="I39" s="313"/>
      <c r="J39" s="313"/>
      <c r="K39" s="314"/>
    </row>
    <row r="40" spans="2:27" ht="15" customHeight="1" x14ac:dyDescent="0.2">
      <c r="B40" s="312" t="s">
        <v>699</v>
      </c>
      <c r="C40" s="313"/>
      <c r="D40" s="313"/>
      <c r="E40" s="313"/>
      <c r="F40" s="313"/>
      <c r="G40" s="313"/>
      <c r="H40" s="313"/>
      <c r="I40" s="313"/>
      <c r="J40" s="313"/>
      <c r="K40" s="314"/>
    </row>
    <row r="41" spans="2:27" ht="15" customHeight="1" x14ac:dyDescent="0.2">
      <c r="B41" s="312" t="s">
        <v>700</v>
      </c>
      <c r="C41" s="313"/>
      <c r="D41" s="313"/>
      <c r="E41" s="313"/>
      <c r="F41" s="313"/>
      <c r="G41" s="313"/>
      <c r="H41" s="313"/>
      <c r="I41" s="313"/>
      <c r="J41" s="313"/>
      <c r="K41" s="314"/>
    </row>
    <row r="42" spans="2:27" ht="15" customHeight="1" x14ac:dyDescent="0.2">
      <c r="B42" s="312" t="s">
        <v>416</v>
      </c>
      <c r="C42" s="313"/>
      <c r="D42" s="313"/>
      <c r="E42" s="313"/>
      <c r="F42" s="313"/>
      <c r="G42" s="313"/>
      <c r="H42" s="313"/>
      <c r="I42" s="313"/>
      <c r="J42" s="313"/>
      <c r="K42" s="314"/>
    </row>
    <row r="43" spans="2:27" ht="15" customHeight="1" thickBot="1" x14ac:dyDescent="0.3">
      <c r="B43" s="315" t="s">
        <v>701</v>
      </c>
      <c r="C43" s="316"/>
      <c r="D43" s="316"/>
      <c r="E43" s="316"/>
      <c r="F43" s="316"/>
      <c r="G43" s="316"/>
      <c r="H43" s="316"/>
      <c r="I43" s="316"/>
      <c r="J43" s="316"/>
      <c r="K43" s="317"/>
    </row>
    <row r="45" spans="2:27" ht="15" customHeight="1" thickBot="1" x14ac:dyDescent="0.25"/>
    <row r="46" spans="2:27" ht="15" customHeight="1" thickBot="1" x14ac:dyDescent="0.25">
      <c r="B46" s="321" t="s">
        <v>417</v>
      </c>
      <c r="C46" s="322"/>
      <c r="D46" s="322"/>
      <c r="E46" s="322"/>
      <c r="F46" s="322"/>
      <c r="G46" s="322"/>
      <c r="H46" s="322"/>
      <c r="I46" s="322"/>
      <c r="J46" s="322"/>
      <c r="K46" s="323"/>
    </row>
  </sheetData>
  <mergeCells count="19">
    <mergeCell ref="M27:AA33"/>
    <mergeCell ref="C3:D3"/>
    <mergeCell ref="G3:H3"/>
    <mergeCell ref="K3:K5"/>
    <mergeCell ref="G4:H4"/>
    <mergeCell ref="E3:F3"/>
    <mergeCell ref="E4:F4"/>
    <mergeCell ref="I3:J3"/>
    <mergeCell ref="I4:J4"/>
    <mergeCell ref="B41:K41"/>
    <mergeCell ref="B42:K42"/>
    <mergeCell ref="B43:K43"/>
    <mergeCell ref="B35:K35"/>
    <mergeCell ref="B46:K46"/>
    <mergeCell ref="B36:K36"/>
    <mergeCell ref="B37:K37"/>
    <mergeCell ref="B38:K38"/>
    <mergeCell ref="B39:K39"/>
    <mergeCell ref="B40:K40"/>
  </mergeCells>
  <pageMargins left="0.7" right="0.7" top="0.75" bottom="0.75" header="0.3" footer="0.3"/>
  <pageSetup scale="48" orientation="landscape" r:id="rId1"/>
  <ignoredErrors>
    <ignoredError sqref="G6 D33 D14:D30 G14:G18 D6 F9:H10 I10 E14:F14 H14:J14 G19 E18:F18 H18:J18 G23 G20:G22 E20:F22 H20:J22 G27 G24:G26 E24:F26 H24:J26 G28:G30 E28:F30 H28:J30" formula="1"/>
    <ignoredError sqref="E33:I33" evalError="1" formula="1"/>
    <ignoredError sqref="E32:J32 J33" evalError="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19"/>
  <sheetViews>
    <sheetView workbookViewId="0"/>
  </sheetViews>
  <sheetFormatPr defaultColWidth="9.140625" defaultRowHeight="18" customHeight="1" x14ac:dyDescent="0.2"/>
  <cols>
    <col min="1" max="1" width="2.7109375" style="146" customWidth="1"/>
    <col min="2" max="4" width="15.7109375" style="147" customWidth="1"/>
    <col min="5" max="5" width="2.7109375" style="146" customWidth="1"/>
    <col min="6" max="6" width="9.85546875" style="146" bestFit="1" customWidth="1"/>
    <col min="7" max="7" width="11.140625" style="146" bestFit="1" customWidth="1"/>
    <col min="8" max="8" width="5" style="146" bestFit="1" customWidth="1"/>
    <col min="9" max="9" width="10" style="146" bestFit="1" customWidth="1"/>
    <col min="10" max="10" width="11.28515625" style="171" customWidth="1"/>
    <col min="11" max="11" width="43.42578125" style="146" bestFit="1" customWidth="1"/>
    <col min="12" max="16384" width="9.140625" style="146"/>
  </cols>
  <sheetData>
    <row r="1" spans="2:11" ht="18" customHeight="1" thickBot="1" x14ac:dyDescent="0.25"/>
    <row r="2" spans="2:11" s="147" customFormat="1" ht="18" customHeight="1" x14ac:dyDescent="0.2">
      <c r="B2" s="231" t="s">
        <v>1</v>
      </c>
      <c r="C2" s="232" t="s">
        <v>2</v>
      </c>
      <c r="D2" s="233" t="s">
        <v>3</v>
      </c>
      <c r="F2" s="340" t="s">
        <v>9</v>
      </c>
      <c r="G2" s="341"/>
      <c r="H2" s="341"/>
      <c r="I2" s="341"/>
      <c r="J2" s="341"/>
      <c r="K2" s="233" t="s">
        <v>14</v>
      </c>
    </row>
    <row r="3" spans="2:11" ht="18" customHeight="1" x14ac:dyDescent="0.2">
      <c r="B3" s="234" t="s">
        <v>4</v>
      </c>
      <c r="C3" s="154" t="s">
        <v>5</v>
      </c>
      <c r="D3" s="235">
        <f>429923 / 1000000</f>
        <v>0.429923</v>
      </c>
      <c r="F3" s="127">
        <v>20.5</v>
      </c>
      <c r="G3" s="241" t="s">
        <v>4</v>
      </c>
      <c r="H3" s="242" t="s">
        <v>6</v>
      </c>
      <c r="I3" s="243">
        <f t="shared" ref="I3:I17" si="0">F3 * D3</f>
        <v>8.8134215000000005</v>
      </c>
      <c r="J3" s="225" t="s">
        <v>5</v>
      </c>
      <c r="K3" s="244"/>
    </row>
    <row r="4" spans="2:11" ht="18" customHeight="1" x14ac:dyDescent="0.2">
      <c r="B4" s="234" t="s">
        <v>7</v>
      </c>
      <c r="C4" s="154" t="s">
        <v>5</v>
      </c>
      <c r="D4" s="235">
        <f>1 / 3.6</f>
        <v>0.27777777777777779</v>
      </c>
      <c r="F4" s="245">
        <v>9</v>
      </c>
      <c r="G4" s="241" t="s">
        <v>7</v>
      </c>
      <c r="H4" s="242" t="s">
        <v>6</v>
      </c>
      <c r="I4" s="241">
        <f t="shared" si="0"/>
        <v>2.5</v>
      </c>
      <c r="J4" s="225" t="s">
        <v>5</v>
      </c>
      <c r="K4" s="244"/>
    </row>
    <row r="5" spans="2:11" ht="18" customHeight="1" x14ac:dyDescent="0.2">
      <c r="B5" s="234" t="s">
        <v>8</v>
      </c>
      <c r="C5" s="154" t="s">
        <v>5</v>
      </c>
      <c r="D5" s="235">
        <f>(1 / 3600) * 1000</f>
        <v>0.27777777777777779</v>
      </c>
      <c r="F5" s="127">
        <v>947</v>
      </c>
      <c r="G5" s="241" t="s">
        <v>8</v>
      </c>
      <c r="H5" s="242" t="s">
        <v>6</v>
      </c>
      <c r="I5" s="246">
        <f t="shared" si="0"/>
        <v>263.05555555555554</v>
      </c>
      <c r="J5" s="225" t="s">
        <v>5</v>
      </c>
      <c r="K5" s="244"/>
    </row>
    <row r="6" spans="2:11" ht="18" customHeight="1" x14ac:dyDescent="0.2">
      <c r="B6" s="234" t="s">
        <v>69</v>
      </c>
      <c r="C6" s="154" t="s">
        <v>72</v>
      </c>
      <c r="D6" s="235">
        <f>0.000293071 * (1 / 0.907185) * (1 / 1.60934) * (1/1000)</f>
        <v>2.0073780904963764E-7</v>
      </c>
      <c r="F6" s="127">
        <v>260</v>
      </c>
      <c r="G6" s="241" t="s">
        <v>70</v>
      </c>
      <c r="H6" s="242" t="s">
        <v>6</v>
      </c>
      <c r="I6" s="247">
        <f t="shared" si="0"/>
        <v>5.2191830352905787E-5</v>
      </c>
      <c r="J6" s="225" t="s">
        <v>72</v>
      </c>
      <c r="K6" s="244"/>
    </row>
    <row r="7" spans="2:11" ht="18" customHeight="1" x14ac:dyDescent="0.2">
      <c r="B7" s="234" t="s">
        <v>69</v>
      </c>
      <c r="C7" s="154" t="s">
        <v>71</v>
      </c>
      <c r="D7" s="235">
        <f>1055.06 * (1 / 0.907185) * (1 / 1.60934) * (1 / 1000)</f>
        <v>0.72265912634109375</v>
      </c>
      <c r="F7" s="127">
        <v>260</v>
      </c>
      <c r="G7" s="241" t="s">
        <v>70</v>
      </c>
      <c r="H7" s="242" t="s">
        <v>6</v>
      </c>
      <c r="I7" s="246">
        <f t="shared" si="0"/>
        <v>187.89137284868437</v>
      </c>
      <c r="J7" s="225" t="s">
        <v>71</v>
      </c>
      <c r="K7" s="244"/>
    </row>
    <row r="8" spans="2:11" ht="18" customHeight="1" x14ac:dyDescent="0.2">
      <c r="B8" s="234" t="s">
        <v>841</v>
      </c>
      <c r="C8" s="154" t="s">
        <v>64</v>
      </c>
      <c r="D8" s="235">
        <f>(1 / 264.172) * 42</f>
        <v>0.15898732643883529</v>
      </c>
      <c r="F8" s="127">
        <v>850</v>
      </c>
      <c r="G8" s="241" t="s">
        <v>93</v>
      </c>
      <c r="H8" s="242" t="s">
        <v>6</v>
      </c>
      <c r="I8" s="246">
        <f t="shared" si="0"/>
        <v>135.13922747300998</v>
      </c>
      <c r="J8" s="225" t="s">
        <v>64</v>
      </c>
      <c r="K8" s="244"/>
    </row>
    <row r="9" spans="2:11" ht="18" customHeight="1" x14ac:dyDescent="0.2">
      <c r="B9" s="234" t="s">
        <v>844</v>
      </c>
      <c r="C9" s="154" t="s">
        <v>49</v>
      </c>
      <c r="D9" s="235">
        <v>0.453592</v>
      </c>
      <c r="F9" s="127">
        <v>1236</v>
      </c>
      <c r="G9" s="241" t="s">
        <v>105</v>
      </c>
      <c r="H9" s="242" t="s">
        <v>6</v>
      </c>
      <c r="I9" s="246">
        <f t="shared" si="0"/>
        <v>560.63971200000003</v>
      </c>
      <c r="J9" s="225" t="s">
        <v>49</v>
      </c>
      <c r="K9" s="244"/>
    </row>
    <row r="10" spans="2:11" ht="18" customHeight="1" x14ac:dyDescent="0.2">
      <c r="B10" s="234" t="s">
        <v>0</v>
      </c>
      <c r="C10" s="154" t="s">
        <v>117</v>
      </c>
      <c r="D10" s="235">
        <f>1 / 1000000</f>
        <v>9.9999999999999995E-7</v>
      </c>
      <c r="F10" s="127">
        <v>6.5</v>
      </c>
      <c r="G10" s="154" t="s">
        <v>0</v>
      </c>
      <c r="H10" s="242" t="s">
        <v>6</v>
      </c>
      <c r="I10" s="248">
        <f t="shared" si="0"/>
        <v>6.4999999999999996E-6</v>
      </c>
      <c r="J10" s="225" t="s">
        <v>117</v>
      </c>
      <c r="K10" s="244"/>
    </row>
    <row r="11" spans="2:11" ht="18" customHeight="1" x14ac:dyDescent="0.2">
      <c r="B11" s="234" t="s">
        <v>119</v>
      </c>
      <c r="C11" s="154" t="s">
        <v>64</v>
      </c>
      <c r="D11" s="236">
        <f>(1 / 19.25) * 1000</f>
        <v>51.948051948051955</v>
      </c>
      <c r="F11" s="127">
        <v>8.6999999999999993</v>
      </c>
      <c r="G11" s="241" t="s">
        <v>119</v>
      </c>
      <c r="H11" s="242" t="s">
        <v>6</v>
      </c>
      <c r="I11" s="246">
        <f t="shared" si="0"/>
        <v>451.94805194805195</v>
      </c>
      <c r="J11" s="225" t="s">
        <v>64</v>
      </c>
      <c r="K11" s="244"/>
    </row>
    <row r="12" spans="2:11" ht="18" customHeight="1" x14ac:dyDescent="0.2">
      <c r="B12" s="234" t="s">
        <v>125</v>
      </c>
      <c r="C12" s="154" t="s">
        <v>126</v>
      </c>
      <c r="D12" s="155">
        <v>3600</v>
      </c>
      <c r="F12" s="127">
        <v>8.5670000000000002</v>
      </c>
      <c r="G12" s="241" t="s">
        <v>125</v>
      </c>
      <c r="H12" s="242" t="s">
        <v>6</v>
      </c>
      <c r="I12" s="249">
        <f t="shared" si="0"/>
        <v>30841.200000000001</v>
      </c>
      <c r="J12" s="225" t="s">
        <v>126</v>
      </c>
      <c r="K12" s="244"/>
    </row>
    <row r="13" spans="2:11" ht="18" customHeight="1" x14ac:dyDescent="0.25">
      <c r="B13" s="234" t="s">
        <v>842</v>
      </c>
      <c r="C13" s="154" t="s">
        <v>843</v>
      </c>
      <c r="D13" s="235">
        <f>1000 / 6098.222828</f>
        <v>0.16398220075011008</v>
      </c>
      <c r="F13" s="127">
        <v>300</v>
      </c>
      <c r="G13" s="241" t="s">
        <v>842</v>
      </c>
      <c r="H13" s="242" t="s">
        <v>6</v>
      </c>
      <c r="I13" s="243">
        <f t="shared" si="0"/>
        <v>49.194660225033026</v>
      </c>
      <c r="J13" s="154" t="s">
        <v>843</v>
      </c>
      <c r="K13" s="244"/>
    </row>
    <row r="14" spans="2:11" ht="18" customHeight="1" x14ac:dyDescent="0.2">
      <c r="B14" s="234" t="s">
        <v>203</v>
      </c>
      <c r="C14" s="154" t="s">
        <v>204</v>
      </c>
      <c r="D14" s="235">
        <v>0.29307106999999999</v>
      </c>
      <c r="F14" s="250">
        <v>200000</v>
      </c>
      <c r="G14" s="241" t="s">
        <v>203</v>
      </c>
      <c r="H14" s="242" t="s">
        <v>6</v>
      </c>
      <c r="I14" s="249">
        <f t="shared" si="0"/>
        <v>58614.214</v>
      </c>
      <c r="J14" s="225" t="s">
        <v>204</v>
      </c>
      <c r="K14" s="244"/>
    </row>
    <row r="15" spans="2:11" ht="18" customHeight="1" x14ac:dyDescent="0.25">
      <c r="B15" s="234" t="s">
        <v>232</v>
      </c>
      <c r="C15" s="154" t="s">
        <v>116</v>
      </c>
      <c r="D15" s="237">
        <v>34</v>
      </c>
      <c r="F15" s="251">
        <v>1E-3</v>
      </c>
      <c r="G15" s="154" t="s">
        <v>232</v>
      </c>
      <c r="H15" s="242" t="s">
        <v>6</v>
      </c>
      <c r="I15" s="252">
        <f t="shared" si="0"/>
        <v>3.4000000000000002E-2</v>
      </c>
      <c r="J15" s="154" t="s">
        <v>116</v>
      </c>
      <c r="K15" s="244" t="s">
        <v>210</v>
      </c>
    </row>
    <row r="16" spans="2:11" ht="18" customHeight="1" x14ac:dyDescent="0.25">
      <c r="B16" s="234" t="s">
        <v>211</v>
      </c>
      <c r="C16" s="154" t="s">
        <v>116</v>
      </c>
      <c r="D16" s="237">
        <v>298</v>
      </c>
      <c r="F16" s="251">
        <v>1E-4</v>
      </c>
      <c r="G16" s="154" t="s">
        <v>211</v>
      </c>
      <c r="H16" s="242" t="s">
        <v>6</v>
      </c>
      <c r="I16" s="252">
        <f t="shared" si="0"/>
        <v>2.98E-2</v>
      </c>
      <c r="J16" s="154" t="s">
        <v>116</v>
      </c>
      <c r="K16" s="244" t="s">
        <v>210</v>
      </c>
    </row>
    <row r="17" spans="2:11" ht="18" customHeight="1" x14ac:dyDescent="0.2">
      <c r="B17" s="234" t="s">
        <v>240</v>
      </c>
      <c r="C17" s="154" t="s">
        <v>169</v>
      </c>
      <c r="D17" s="238">
        <v>4046.86</v>
      </c>
      <c r="F17" s="127">
        <v>20</v>
      </c>
      <c r="G17" s="241" t="s">
        <v>241</v>
      </c>
      <c r="H17" s="242" t="s">
        <v>6</v>
      </c>
      <c r="I17" s="249">
        <f t="shared" si="0"/>
        <v>80937.2</v>
      </c>
      <c r="J17" s="154" t="s">
        <v>169</v>
      </c>
      <c r="K17" s="244"/>
    </row>
    <row r="18" spans="2:11" ht="18" customHeight="1" x14ac:dyDescent="0.2">
      <c r="B18" s="234" t="s">
        <v>274</v>
      </c>
      <c r="C18" s="154" t="s">
        <v>102</v>
      </c>
      <c r="D18" s="235">
        <v>2.7777800000000001E-4</v>
      </c>
      <c r="F18" s="127">
        <v>3.79</v>
      </c>
      <c r="G18" s="241" t="s">
        <v>274</v>
      </c>
      <c r="H18" s="242" t="s">
        <v>6</v>
      </c>
      <c r="I18" s="252">
        <f>F18 * D18</f>
        <v>1.05277862E-3</v>
      </c>
      <c r="J18" s="225" t="s">
        <v>102</v>
      </c>
      <c r="K18" s="244"/>
    </row>
    <row r="19" spans="2:11" ht="18" customHeight="1" thickBot="1" x14ac:dyDescent="0.25">
      <c r="B19" s="239" t="s">
        <v>49</v>
      </c>
      <c r="C19" s="240" t="s">
        <v>120</v>
      </c>
      <c r="D19" s="162">
        <f>1 / 1000000000</f>
        <v>1.0000000000000001E-9</v>
      </c>
      <c r="F19" s="253">
        <v>60000000</v>
      </c>
      <c r="G19" s="254" t="s">
        <v>49</v>
      </c>
      <c r="H19" s="255" t="s">
        <v>6</v>
      </c>
      <c r="I19" s="254">
        <f>F19 * D19</f>
        <v>6.0000000000000005E-2</v>
      </c>
      <c r="J19" s="226" t="s">
        <v>120</v>
      </c>
      <c r="K19" s="256"/>
    </row>
  </sheetData>
  <mergeCells count="1">
    <mergeCell ref="F2:J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0"/>
  <sheetViews>
    <sheetView workbookViewId="0"/>
  </sheetViews>
  <sheetFormatPr defaultColWidth="8.85546875" defaultRowHeight="15" x14ac:dyDescent="0.25"/>
  <cols>
    <col min="1" max="1" width="2.7109375" style="172" customWidth="1"/>
    <col min="2" max="2" width="55.7109375" style="123" customWidth="1"/>
    <col min="3" max="7" width="20.7109375" style="172" customWidth="1"/>
    <col min="8" max="16384" width="8.85546875" style="172"/>
  </cols>
  <sheetData>
    <row r="1" spans="1:7" ht="15.75" thickBot="1" x14ac:dyDescent="0.3"/>
    <row r="2" spans="1:7" ht="14.45" customHeight="1" x14ac:dyDescent="0.25">
      <c r="B2" s="343" t="s">
        <v>742</v>
      </c>
      <c r="C2" s="344"/>
      <c r="D2" s="344"/>
      <c r="E2" s="344"/>
      <c r="F2" s="344"/>
      <c r="G2" s="345"/>
    </row>
    <row r="3" spans="1:7" ht="15.75" thickBot="1" x14ac:dyDescent="0.3">
      <c r="B3" s="346" t="s">
        <v>741</v>
      </c>
      <c r="C3" s="347"/>
      <c r="D3" s="347"/>
      <c r="E3" s="347"/>
      <c r="F3" s="347"/>
      <c r="G3" s="348"/>
    </row>
    <row r="4" spans="1:7" ht="15.75" thickBot="1" x14ac:dyDescent="0.3"/>
    <row r="5" spans="1:7" s="122" customFormat="1" x14ac:dyDescent="0.25">
      <c r="B5" s="173" t="s">
        <v>22</v>
      </c>
      <c r="C5" s="174" t="s">
        <v>23</v>
      </c>
      <c r="D5" s="174" t="s">
        <v>29</v>
      </c>
      <c r="E5" s="174" t="s">
        <v>28</v>
      </c>
      <c r="F5" s="174" t="s">
        <v>27</v>
      </c>
      <c r="G5" s="175" t="s">
        <v>394</v>
      </c>
    </row>
    <row r="6" spans="1:7" x14ac:dyDescent="0.25">
      <c r="A6" s="172">
        <v>1</v>
      </c>
      <c r="B6" s="184" t="s">
        <v>41</v>
      </c>
      <c r="C6" s="1" t="s">
        <v>24</v>
      </c>
      <c r="D6" s="180">
        <v>30840</v>
      </c>
      <c r="E6" s="2">
        <f>D6 * 0.000277778</f>
        <v>8.5666735200000002</v>
      </c>
      <c r="F6" s="182">
        <v>0.73809999999999998</v>
      </c>
      <c r="G6" s="176">
        <f>D6 * 0.429923</f>
        <v>13258.82532</v>
      </c>
    </row>
    <row r="7" spans="1:7" x14ac:dyDescent="0.25">
      <c r="A7" s="172">
        <v>2</v>
      </c>
      <c r="B7" s="184" t="s">
        <v>42</v>
      </c>
      <c r="C7" s="1" t="s">
        <v>24</v>
      </c>
      <c r="D7" s="180">
        <v>25350</v>
      </c>
      <c r="E7" s="2">
        <f t="shared" ref="E7:E9" si="0">D7 * 0.000277778</f>
        <v>7.0416723000000001</v>
      </c>
      <c r="F7" s="182">
        <v>0.61199999999999999</v>
      </c>
      <c r="G7" s="176">
        <f t="shared" ref="G7:G9" si="1">D7 * 0.429923</f>
        <v>10898.548049999999</v>
      </c>
    </row>
    <row r="8" spans="1:7" x14ac:dyDescent="0.25">
      <c r="A8" s="172">
        <v>3</v>
      </c>
      <c r="B8" s="184" t="s">
        <v>43</v>
      </c>
      <c r="C8" s="1" t="s">
        <v>25</v>
      </c>
      <c r="D8" s="180">
        <v>19400</v>
      </c>
      <c r="E8" s="2">
        <f t="shared" si="0"/>
        <v>5.3888932</v>
      </c>
      <c r="F8" s="182">
        <v>0.48180000000000001</v>
      </c>
      <c r="G8" s="176">
        <f t="shared" si="1"/>
        <v>8340.5061999999998</v>
      </c>
    </row>
    <row r="9" spans="1:7" ht="15.75" thickBot="1" x14ac:dyDescent="0.3">
      <c r="A9" s="172">
        <v>4</v>
      </c>
      <c r="B9" s="185" t="s">
        <v>44</v>
      </c>
      <c r="C9" s="177" t="s">
        <v>26</v>
      </c>
      <c r="D9" s="181">
        <v>14000</v>
      </c>
      <c r="E9" s="178">
        <f t="shared" si="0"/>
        <v>3.8888920000000002</v>
      </c>
      <c r="F9" s="183">
        <v>0.35039999999999999</v>
      </c>
      <c r="G9" s="179">
        <f t="shared" si="1"/>
        <v>6018.9219999999996</v>
      </c>
    </row>
    <row r="30" spans="2:6" ht="18" x14ac:dyDescent="0.35">
      <c r="B30" s="342" t="s">
        <v>322</v>
      </c>
      <c r="C30" s="342"/>
      <c r="D30" s="342"/>
      <c r="E30" s="342"/>
      <c r="F30" s="342"/>
    </row>
  </sheetData>
  <mergeCells count="3">
    <mergeCell ref="B30:F30"/>
    <mergeCell ref="B2:G2"/>
    <mergeCell ref="B3:G3"/>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13"/>
  <sheetViews>
    <sheetView workbookViewId="0"/>
  </sheetViews>
  <sheetFormatPr defaultColWidth="8.85546875" defaultRowHeight="15" x14ac:dyDescent="0.25"/>
  <cols>
    <col min="1" max="1" width="2.7109375" style="172" customWidth="1"/>
    <col min="2" max="2" width="20.140625" style="123" bestFit="1" customWidth="1"/>
    <col min="3" max="3" width="20.5703125" style="123" bestFit="1" customWidth="1"/>
    <col min="4" max="4" width="18.7109375" style="172" bestFit="1" customWidth="1"/>
    <col min="5" max="5" width="31.140625" style="172" bestFit="1" customWidth="1"/>
    <col min="6" max="6" width="2.7109375" style="172" customWidth="1"/>
    <col min="7" max="7" width="20.140625" style="123" bestFit="1" customWidth="1"/>
    <col min="8" max="8" width="20.5703125" style="123" bestFit="1" customWidth="1"/>
    <col min="9" max="9" width="18.7109375" style="123" bestFit="1" customWidth="1"/>
    <col min="10" max="10" width="31.140625" style="123" bestFit="1" customWidth="1"/>
    <col min="11" max="16384" width="8.85546875" style="172"/>
  </cols>
  <sheetData>
    <row r="1" spans="2:10" ht="15.75" thickBot="1" x14ac:dyDescent="0.3"/>
    <row r="2" spans="2:10" x14ac:dyDescent="0.25">
      <c r="G2" s="186" t="s">
        <v>145</v>
      </c>
      <c r="H2" s="187">
        <v>56.682000000000002</v>
      </c>
      <c r="I2" s="187">
        <v>52.185000000000002</v>
      </c>
      <c r="J2" s="188">
        <v>0.62080000000000002</v>
      </c>
    </row>
    <row r="3" spans="2:10" x14ac:dyDescent="0.25">
      <c r="G3" s="189" t="s">
        <v>146</v>
      </c>
      <c r="H3" s="190">
        <v>-1.0009999999999999</v>
      </c>
      <c r="I3" s="190">
        <v>-0.99399999999999999</v>
      </c>
      <c r="J3" s="191">
        <v>-0.995</v>
      </c>
    </row>
    <row r="4" spans="2:10" x14ac:dyDescent="0.25">
      <c r="B4" s="349" t="s">
        <v>324</v>
      </c>
      <c r="C4" s="349"/>
      <c r="D4" s="349"/>
      <c r="E4" s="349"/>
      <c r="G4" s="192"/>
      <c r="H4" s="3" t="s">
        <v>20</v>
      </c>
      <c r="I4" s="3" t="s">
        <v>20</v>
      </c>
      <c r="J4" s="193" t="s">
        <v>20</v>
      </c>
    </row>
    <row r="5" spans="2:10" x14ac:dyDescent="0.25">
      <c r="B5" s="3" t="s">
        <v>61</v>
      </c>
      <c r="C5" s="3" t="s">
        <v>66</v>
      </c>
      <c r="D5" s="4" t="s">
        <v>68</v>
      </c>
      <c r="E5" s="4" t="s">
        <v>143</v>
      </c>
      <c r="G5" s="192" t="s">
        <v>61</v>
      </c>
      <c r="H5" s="3" t="s">
        <v>66</v>
      </c>
      <c r="I5" s="3" t="s">
        <v>68</v>
      </c>
      <c r="J5" s="194" t="s">
        <v>143</v>
      </c>
    </row>
    <row r="6" spans="2:10" ht="18" x14ac:dyDescent="0.35">
      <c r="B6" s="5" t="s">
        <v>323</v>
      </c>
      <c r="C6" s="5" t="s">
        <v>67</v>
      </c>
      <c r="D6" s="5" t="s">
        <v>67</v>
      </c>
      <c r="E6" s="5" t="s">
        <v>144</v>
      </c>
      <c r="G6" s="195" t="s">
        <v>323</v>
      </c>
      <c r="H6" s="5" t="s">
        <v>67</v>
      </c>
      <c r="I6" s="5" t="s">
        <v>67</v>
      </c>
      <c r="J6" s="196" t="s">
        <v>144</v>
      </c>
    </row>
    <row r="7" spans="2:10" x14ac:dyDescent="0.25">
      <c r="G7" s="197">
        <v>1</v>
      </c>
      <c r="H7" s="198">
        <f t="shared" ref="H7:J13" si="0">H$2 * $G7^H$3</f>
        <v>56.682000000000002</v>
      </c>
      <c r="I7" s="198">
        <f t="shared" si="0"/>
        <v>52.185000000000002</v>
      </c>
      <c r="J7" s="199">
        <f t="shared" si="0"/>
        <v>0.62080000000000002</v>
      </c>
    </row>
    <row r="8" spans="2:10" x14ac:dyDescent="0.25">
      <c r="B8" s="9">
        <v>2</v>
      </c>
      <c r="C8" s="10">
        <v>28.3</v>
      </c>
      <c r="D8" s="10">
        <v>26.2</v>
      </c>
      <c r="E8" s="11">
        <v>0.31</v>
      </c>
      <c r="G8" s="200">
        <v>2</v>
      </c>
      <c r="H8" s="10">
        <f t="shared" si="0"/>
        <v>28.321362322442418</v>
      </c>
      <c r="I8" s="10">
        <f t="shared" si="0"/>
        <v>26.201241621962907</v>
      </c>
      <c r="J8" s="201">
        <f t="shared" si="0"/>
        <v>0.31147763073734969</v>
      </c>
    </row>
    <row r="9" spans="2:10" x14ac:dyDescent="0.25">
      <c r="B9" s="12">
        <v>3</v>
      </c>
      <c r="C9" s="13">
        <v>18.899999999999999</v>
      </c>
      <c r="D9" s="13">
        <v>17.5</v>
      </c>
      <c r="E9" s="14">
        <v>0.21</v>
      </c>
      <c r="G9" s="202">
        <v>3</v>
      </c>
      <c r="H9" s="13">
        <f t="shared" si="0"/>
        <v>18.873254217290405</v>
      </c>
      <c r="I9" s="13">
        <f t="shared" si="0"/>
        <v>17.510040904075844</v>
      </c>
      <c r="J9" s="203">
        <f t="shared" si="0"/>
        <v>0.20807315854691216</v>
      </c>
    </row>
    <row r="10" spans="2:10" x14ac:dyDescent="0.25">
      <c r="G10" s="197">
        <v>4</v>
      </c>
      <c r="H10" s="198">
        <f t="shared" si="0"/>
        <v>14.150869125984634</v>
      </c>
      <c r="I10" s="198">
        <f t="shared" si="0"/>
        <v>13.155218214668611</v>
      </c>
      <c r="J10" s="199">
        <f t="shared" si="0"/>
        <v>0.15627950136880278</v>
      </c>
    </row>
    <row r="11" spans="2:10" x14ac:dyDescent="0.25">
      <c r="B11" s="15">
        <v>4.3499999999999996</v>
      </c>
      <c r="C11" s="16">
        <v>13</v>
      </c>
      <c r="D11" s="16">
        <v>12.1</v>
      </c>
      <c r="E11" s="17">
        <v>0.14299999999999999</v>
      </c>
      <c r="G11" s="204">
        <v>4.3499999999999996</v>
      </c>
      <c r="H11" s="16">
        <f t="shared" si="0"/>
        <v>13.011202004473406</v>
      </c>
      <c r="I11" s="16">
        <f t="shared" si="0"/>
        <v>12.102842074860071</v>
      </c>
      <c r="J11" s="205">
        <f t="shared" si="0"/>
        <v>0.14376557232014853</v>
      </c>
    </row>
    <row r="12" spans="2:10" x14ac:dyDescent="0.25">
      <c r="G12" s="197">
        <v>5</v>
      </c>
      <c r="H12" s="198">
        <f t="shared" si="0"/>
        <v>11.318169442459924</v>
      </c>
      <c r="I12" s="198">
        <f t="shared" si="0"/>
        <v>10.53827441862992</v>
      </c>
      <c r="J12" s="199">
        <f t="shared" si="0"/>
        <v>0.12516316999204449</v>
      </c>
    </row>
    <row r="13" spans="2:10" ht="15.75" thickBot="1" x14ac:dyDescent="0.3">
      <c r="G13" s="206">
        <v>6</v>
      </c>
      <c r="H13" s="207">
        <f t="shared" si="0"/>
        <v>9.4300884035751409</v>
      </c>
      <c r="I13" s="207">
        <f t="shared" si="0"/>
        <v>8.7915073783298858</v>
      </c>
      <c r="J13" s="208">
        <f t="shared" si="0"/>
        <v>0.10439776811248248</v>
      </c>
    </row>
  </sheetData>
  <mergeCells count="1">
    <mergeCell ref="B4:E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B47"/>
  <sheetViews>
    <sheetView workbookViewId="0"/>
  </sheetViews>
  <sheetFormatPr defaultColWidth="8.85546875" defaultRowHeight="15" x14ac:dyDescent="0.25"/>
  <cols>
    <col min="1" max="1" width="2.7109375" style="172" customWidth="1"/>
    <col min="2" max="2" width="94.140625" style="172" customWidth="1"/>
    <col min="3" max="16384" width="8.85546875" style="172"/>
  </cols>
  <sheetData>
    <row r="1" spans="2:2" ht="15.75" thickBot="1" x14ac:dyDescent="0.3">
      <c r="B1" s="257"/>
    </row>
    <row r="2" spans="2:2" x14ac:dyDescent="0.25">
      <c r="B2" s="258" t="s">
        <v>747</v>
      </c>
    </row>
    <row r="3" spans="2:2" x14ac:dyDescent="0.25">
      <c r="B3" s="259"/>
    </row>
    <row r="4" spans="2:2" ht="45" x14ac:dyDescent="0.25">
      <c r="B4" s="260" t="s">
        <v>845</v>
      </c>
    </row>
    <row r="5" spans="2:2" x14ac:dyDescent="0.25">
      <c r="B5" s="260"/>
    </row>
    <row r="6" spans="2:2" ht="48" x14ac:dyDescent="0.25">
      <c r="B6" s="260" t="s">
        <v>846</v>
      </c>
    </row>
    <row r="7" spans="2:2" x14ac:dyDescent="0.25">
      <c r="B7" s="260"/>
    </row>
    <row r="8" spans="2:2" ht="48" x14ac:dyDescent="0.25">
      <c r="B8" s="259" t="s">
        <v>847</v>
      </c>
    </row>
    <row r="9" spans="2:2" x14ac:dyDescent="0.25">
      <c r="B9" s="259"/>
    </row>
    <row r="10" spans="2:2" ht="45" x14ac:dyDescent="0.25">
      <c r="B10" s="259" t="s">
        <v>848</v>
      </c>
    </row>
    <row r="11" spans="2:2" x14ac:dyDescent="0.25">
      <c r="B11" s="259"/>
    </row>
    <row r="12" spans="2:2" ht="45" x14ac:dyDescent="0.25">
      <c r="B12" s="259" t="s">
        <v>849</v>
      </c>
    </row>
    <row r="13" spans="2:2" x14ac:dyDescent="0.25">
      <c r="B13" s="259"/>
    </row>
    <row r="14" spans="2:2" ht="48" x14ac:dyDescent="0.25">
      <c r="B14" s="260" t="s">
        <v>850</v>
      </c>
    </row>
    <row r="15" spans="2:2" x14ac:dyDescent="0.25">
      <c r="B15" s="260"/>
    </row>
    <row r="16" spans="2:2" ht="33" x14ac:dyDescent="0.25">
      <c r="B16" s="260" t="s">
        <v>851</v>
      </c>
    </row>
    <row r="17" spans="2:2" x14ac:dyDescent="0.25">
      <c r="B17" s="260"/>
    </row>
    <row r="18" spans="2:2" ht="30" x14ac:dyDescent="0.25">
      <c r="B18" s="260" t="s">
        <v>852</v>
      </c>
    </row>
    <row r="19" spans="2:2" x14ac:dyDescent="0.25">
      <c r="B19" s="260"/>
    </row>
    <row r="20" spans="2:2" ht="30" x14ac:dyDescent="0.25">
      <c r="B20" s="260" t="s">
        <v>853</v>
      </c>
    </row>
    <row r="21" spans="2:2" x14ac:dyDescent="0.25">
      <c r="B21" s="260"/>
    </row>
    <row r="22" spans="2:2" ht="45" x14ac:dyDescent="0.25">
      <c r="B22" s="260" t="s">
        <v>854</v>
      </c>
    </row>
    <row r="23" spans="2:2" x14ac:dyDescent="0.25">
      <c r="B23" s="260"/>
    </row>
    <row r="24" spans="2:2" ht="45" x14ac:dyDescent="0.25">
      <c r="B24" s="259" t="s">
        <v>855</v>
      </c>
    </row>
    <row r="25" spans="2:2" x14ac:dyDescent="0.25">
      <c r="B25" s="259"/>
    </row>
    <row r="26" spans="2:2" ht="33" x14ac:dyDescent="0.25">
      <c r="B26" s="260" t="s">
        <v>856</v>
      </c>
    </row>
    <row r="27" spans="2:2" x14ac:dyDescent="0.25">
      <c r="B27" s="260"/>
    </row>
    <row r="28" spans="2:2" ht="75" x14ac:dyDescent="0.25">
      <c r="B28" s="260" t="s">
        <v>857</v>
      </c>
    </row>
    <row r="29" spans="2:2" x14ac:dyDescent="0.25">
      <c r="B29" s="260"/>
    </row>
    <row r="30" spans="2:2" ht="45" x14ac:dyDescent="0.25">
      <c r="B30" s="260" t="s">
        <v>858</v>
      </c>
    </row>
    <row r="31" spans="2:2" x14ac:dyDescent="0.25">
      <c r="B31" s="260"/>
    </row>
    <row r="32" spans="2:2" ht="33" x14ac:dyDescent="0.25">
      <c r="B32" s="260" t="s">
        <v>859</v>
      </c>
    </row>
    <row r="33" spans="2:2" x14ac:dyDescent="0.25">
      <c r="B33" s="260"/>
    </row>
    <row r="34" spans="2:2" ht="60" x14ac:dyDescent="0.25">
      <c r="B34" s="260" t="s">
        <v>860</v>
      </c>
    </row>
    <row r="35" spans="2:2" x14ac:dyDescent="0.25">
      <c r="B35" s="260"/>
    </row>
    <row r="36" spans="2:2" ht="33" x14ac:dyDescent="0.25">
      <c r="B36" s="260" t="s">
        <v>861</v>
      </c>
    </row>
    <row r="37" spans="2:2" x14ac:dyDescent="0.25">
      <c r="B37" s="260"/>
    </row>
    <row r="38" spans="2:2" ht="63" x14ac:dyDescent="0.25">
      <c r="B38" s="260" t="s">
        <v>862</v>
      </c>
    </row>
    <row r="39" spans="2:2" x14ac:dyDescent="0.25">
      <c r="B39" s="260"/>
    </row>
    <row r="40" spans="2:2" ht="30" x14ac:dyDescent="0.25">
      <c r="B40" s="259" t="s">
        <v>863</v>
      </c>
    </row>
    <row r="41" spans="2:2" x14ac:dyDescent="0.25">
      <c r="B41" s="259"/>
    </row>
    <row r="42" spans="2:2" ht="33" x14ac:dyDescent="0.25">
      <c r="B42" s="260" t="s">
        <v>864</v>
      </c>
    </row>
    <row r="43" spans="2:2" x14ac:dyDescent="0.25">
      <c r="B43" s="260"/>
    </row>
    <row r="44" spans="2:2" ht="30" x14ac:dyDescent="0.25">
      <c r="B44" s="260" t="s">
        <v>865</v>
      </c>
    </row>
    <row r="45" spans="2:2" x14ac:dyDescent="0.25">
      <c r="B45" s="260"/>
    </row>
    <row r="46" spans="2:2" ht="45" x14ac:dyDescent="0.25">
      <c r="B46" s="259" t="s">
        <v>866</v>
      </c>
    </row>
    <row r="47" spans="2:2" ht="15.75" thickBot="1" x14ac:dyDescent="0.3">
      <c r="B47" s="261"/>
    </row>
  </sheetData>
  <pageMargins left="0.7" right="0.7" top="0.75" bottom="0.75" header="0.3" footer="0.3"/>
  <pageSetup scale="93" fitToHeight="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Information</vt:lpstr>
      <vt:lpstr>1. Base Model</vt:lpstr>
      <vt:lpstr>2. Dashboard Summary</vt:lpstr>
      <vt:lpstr>3. Co-Product Displacement</vt:lpstr>
      <vt:lpstr>4. Gasoline and Diesel</vt:lpstr>
      <vt:lpstr>5. Unit Conversions</vt:lpstr>
      <vt:lpstr>6. Coal Type Lookup Table</vt:lpstr>
      <vt:lpstr>7. Brine &amp; Gas Correlations</vt:lpstr>
      <vt:lpstr>8. References</vt:lpstr>
      <vt:lpstr>'2. Dashboard Summary'!Print_Area</vt:lpstr>
      <vt:lpstr>'3. Co-Product Displacement'!Print_Area</vt:lpstr>
      <vt:lpstr>'4. Gasoline and Diesel'!Print_Area</vt:lpstr>
      <vt:lpstr>Information!Print_Area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NickAzzolina</dc:creator>
  <cp:lastModifiedBy>Azzolina, Nick</cp:lastModifiedBy>
  <cp:lastPrinted>2016-07-12T16:08:40Z</cp:lastPrinted>
  <dcterms:created xsi:type="dcterms:W3CDTF">2015-08-05T20:47:30Z</dcterms:created>
  <dcterms:modified xsi:type="dcterms:W3CDTF">2023-01-04T16:40:58Z</dcterms:modified>
</cp:coreProperties>
</file>